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4806E940-1B49-4EE4-A289-4CA300E7A64D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9" r:id="rId1"/>
    <sheet name="産業大分類" sheetId="5" r:id="rId2"/>
    <sheet name="産業中分類" sheetId="6" r:id="rId3"/>
    <sheet name="産業小分類" sheetId="7" r:id="rId4"/>
    <sheet name="熊本県" sheetId="8" r:id="rId5"/>
    <sheet name="熊本市" sheetId="9" r:id="rId6"/>
    <sheet name="熊本市中央区" sheetId="10" r:id="rId7"/>
    <sheet name="熊本市東区" sheetId="11" r:id="rId8"/>
    <sheet name="熊本市西区" sheetId="12" r:id="rId9"/>
    <sheet name="熊本市南区" sheetId="13" r:id="rId10"/>
    <sheet name="熊本市北区" sheetId="14" r:id="rId11"/>
    <sheet name="八代市" sheetId="15" r:id="rId12"/>
    <sheet name="人吉市" sheetId="16" r:id="rId13"/>
    <sheet name="荒尾市" sheetId="17" r:id="rId14"/>
    <sheet name="水俣市" sheetId="18" r:id="rId15"/>
    <sheet name="玉名市" sheetId="19" r:id="rId16"/>
    <sheet name="山鹿市" sheetId="20" r:id="rId17"/>
    <sheet name="菊池市" sheetId="21" r:id="rId18"/>
    <sheet name="宇土市" sheetId="22" r:id="rId19"/>
    <sheet name="上天草市" sheetId="23" r:id="rId20"/>
    <sheet name="宇城市" sheetId="24" r:id="rId21"/>
    <sheet name="阿蘇市" sheetId="25" r:id="rId22"/>
    <sheet name="天草市" sheetId="26" r:id="rId23"/>
    <sheet name="合志市" sheetId="27" r:id="rId24"/>
    <sheet name="下益城郡美里町" sheetId="28" r:id="rId25"/>
    <sheet name="玉名郡玉東町" sheetId="29" r:id="rId26"/>
    <sheet name="玉名郡南関町" sheetId="30" r:id="rId27"/>
    <sheet name="玉名郡長洲町" sheetId="31" r:id="rId28"/>
    <sheet name="玉名郡和水町" sheetId="32" r:id="rId29"/>
    <sheet name="菊池郡大津町" sheetId="33" r:id="rId30"/>
    <sheet name="菊池郡菊陽町" sheetId="34" r:id="rId31"/>
    <sheet name="阿蘇郡南小国町" sheetId="35" r:id="rId32"/>
    <sheet name="阿蘇郡小国町" sheetId="36" r:id="rId33"/>
    <sheet name="阿蘇郡産山村" sheetId="37" r:id="rId34"/>
    <sheet name="阿蘇郡高森町" sheetId="38" r:id="rId35"/>
    <sheet name="阿蘇郡西原村" sheetId="39" r:id="rId36"/>
    <sheet name="阿蘇郡南阿蘇村" sheetId="40" r:id="rId37"/>
    <sheet name="上益城郡御船町" sheetId="41" r:id="rId38"/>
    <sheet name="上益城郡嘉島町" sheetId="42" r:id="rId39"/>
    <sheet name="上益城郡益城町" sheetId="43" r:id="rId40"/>
    <sheet name="上益城郡甲佐町" sheetId="44" r:id="rId41"/>
    <sheet name="上益城郡山都町" sheetId="45" r:id="rId42"/>
    <sheet name="八代郡氷川町" sheetId="46" r:id="rId43"/>
    <sheet name="葦北郡芦北町" sheetId="47" r:id="rId44"/>
    <sheet name="葦北郡津奈木町" sheetId="48" r:id="rId45"/>
    <sheet name="球磨郡錦町" sheetId="49" r:id="rId46"/>
    <sheet name="球磨郡多良木町" sheetId="50" r:id="rId47"/>
    <sheet name="球磨郡湯前町" sheetId="51" r:id="rId48"/>
    <sheet name="球磨郡水上村" sheetId="52" r:id="rId49"/>
    <sheet name="球磨郡相良村" sheetId="53" r:id="rId50"/>
    <sheet name="球磨郡五木村" sheetId="54" r:id="rId51"/>
    <sheet name="球磨郡山江村" sheetId="55" r:id="rId52"/>
    <sheet name="球磨郡球磨村" sheetId="56" r:id="rId53"/>
    <sheet name="球磨郡あさぎり町" sheetId="57" r:id="rId54"/>
    <sheet name="天草郡苓北町" sheetId="58" r:id="rId5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54" r:id="rId56"/>
    <pivotCache cacheId="2255" r:id="rId57"/>
    <pivotCache cacheId="2256" r:id="rId5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8" l="1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<sst xmlns="http://schemas.openxmlformats.org/spreadsheetml/2006/main" count="7905" uniqueCount="387">
  <si>
    <t>43000 熊本県</t>
  </si>
  <si>
    <t>43100 熊本市</t>
  </si>
  <si>
    <t>43101 熊本市中央区</t>
  </si>
  <si>
    <t>43102 熊本市東区</t>
  </si>
  <si>
    <t>43103 熊本市西区</t>
  </si>
  <si>
    <t>43104 熊本市南区</t>
  </si>
  <si>
    <t>43105 熊本市北区</t>
  </si>
  <si>
    <t>43202 八代市</t>
  </si>
  <si>
    <t>43203 人吉市</t>
  </si>
  <si>
    <t>43204 荒尾市</t>
  </si>
  <si>
    <t>43205 水俣市</t>
  </si>
  <si>
    <t>43206 玉名市</t>
  </si>
  <si>
    <t>43208 山鹿市</t>
  </si>
  <si>
    <t>43210 菊池市</t>
  </si>
  <si>
    <t>43211 宇土市</t>
  </si>
  <si>
    <t>43212 上天草市</t>
  </si>
  <si>
    <t>43213 宇城市</t>
  </si>
  <si>
    <t>43214 阿蘇市</t>
  </si>
  <si>
    <t>43215 天草市</t>
  </si>
  <si>
    <t>43216 合志市</t>
  </si>
  <si>
    <t>43348 下益城郡美里町</t>
  </si>
  <si>
    <t>43364 玉名郡玉東町</t>
  </si>
  <si>
    <t>43367 玉名郡南関町</t>
  </si>
  <si>
    <t>43368 玉名郡長洲町</t>
  </si>
  <si>
    <t>43369 玉名郡和水町</t>
  </si>
  <si>
    <t>43403 菊池郡大津町</t>
  </si>
  <si>
    <t>43404 菊池郡菊陽町</t>
  </si>
  <si>
    <t>43423 阿蘇郡南小国町</t>
  </si>
  <si>
    <t>43424 阿蘇郡小国町</t>
  </si>
  <si>
    <t>43425 阿蘇郡産山村</t>
  </si>
  <si>
    <t>43428 阿蘇郡高森町</t>
  </si>
  <si>
    <t>43432 阿蘇郡西原村</t>
  </si>
  <si>
    <t>43433 阿蘇郡南阿蘇村</t>
  </si>
  <si>
    <t>43441 上益城郡御船町</t>
  </si>
  <si>
    <t>43442 上益城郡嘉島町</t>
  </si>
  <si>
    <t>43443 上益城郡益城町</t>
  </si>
  <si>
    <t>43444 上益城郡甲佐町</t>
  </si>
  <si>
    <t>43447 上益城郡山都町</t>
  </si>
  <si>
    <t>43468 八代郡氷川町</t>
  </si>
  <si>
    <t>43482 葦北郡芦北町</t>
  </si>
  <si>
    <t>43484 葦北郡津奈木町</t>
  </si>
  <si>
    <t>43501 球磨郡錦町</t>
  </si>
  <si>
    <t>43505 球磨郡多良木町</t>
  </si>
  <si>
    <t>43506 球磨郡湯前町</t>
  </si>
  <si>
    <t>43507 球磨郡水上村</t>
  </si>
  <si>
    <t>43510 球磨郡相良村</t>
  </si>
  <si>
    <t>43511 球磨郡五木村</t>
  </si>
  <si>
    <t>43512 球磨郡山江村</t>
  </si>
  <si>
    <t>43513 球磨郡球磨村</t>
  </si>
  <si>
    <t>43514 球磨郡あさぎり町</t>
  </si>
  <si>
    <t>43531 天草郡苓北町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</si>
  <si>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</si>
  <si>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</si>
  <si>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</si>
  <si>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</si>
  <si>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</si>
  <si>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</si>
  <si>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</si>
  <si>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</si>
  <si>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</si>
  <si>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</si>
  <si>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</si>
  <si>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</si>
  <si>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</si>
  <si>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</si>
  <si>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</si>
  <si>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</si>
  <si>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</si>
  <si>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</si>
  <si>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</si>
  <si>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</si>
  <si>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</si>
  <si>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</si>
  <si>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</si>
  <si>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</si>
  <si>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</si>
  <si>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</si>
  <si>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</si>
  <si>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</si>
  <si>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</si>
  <si>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</si>
  <si>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</si>
  <si>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</si>
  <si>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</si>
  <si>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</si>
  <si>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</si>
  <si>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</si>
  <si>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</si>
  <si>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</si>
  <si>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</si>
  <si>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</si>
  <si>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</si>
  <si>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</si>
  <si>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</si>
  <si>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</si>
  <si>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92 その他の事業サービス業</t>
  </si>
  <si>
    <t>67 保険業（保険媒介代理業，保険サービス業を含む）</t>
  </si>
  <si>
    <t>79 その他の生活関連サービス業</t>
  </si>
  <si>
    <t>61 無店舗小売業</t>
  </si>
  <si>
    <t>53 建築材料，鉱物・金属材料等卸売業</t>
  </si>
  <si>
    <t>80 娯楽業</t>
  </si>
  <si>
    <t>77 持ち帰り・配達飲食サービス業</t>
  </si>
  <si>
    <t>24 金属製品製造業</t>
  </si>
  <si>
    <t>11 繊維工業</t>
  </si>
  <si>
    <t>31 輸送用機械器具製造業</t>
  </si>
  <si>
    <t>45 水運業</t>
  </si>
  <si>
    <t>75 宿泊業</t>
  </si>
  <si>
    <t>95 その他のサービス業</t>
  </si>
  <si>
    <t>10 飲料・たばこ・飼料製造業</t>
  </si>
  <si>
    <t>12 木材・木製品製造業（家具を除く）</t>
  </si>
  <si>
    <t>13 家具・装備品製造業</t>
  </si>
  <si>
    <t>21 窯業・土石製品製造業</t>
  </si>
  <si>
    <t>33 電気業</t>
  </si>
  <si>
    <t>36 水道業</t>
  </si>
  <si>
    <t>44 道路貨物運送業</t>
  </si>
  <si>
    <t>16 化学工業</t>
  </si>
  <si>
    <t>39 情報サービス業</t>
  </si>
  <si>
    <t>70 物品賃貸業</t>
  </si>
  <si>
    <t>88 廃棄物処理業</t>
  </si>
  <si>
    <t>26 生産用機械器具製造業</t>
  </si>
  <si>
    <t>91 職業紹介・労働者派遣業</t>
  </si>
  <si>
    <t>15 印刷・同関連業</t>
  </si>
  <si>
    <t>38 放送業</t>
  </si>
  <si>
    <t>48 運輸に附帯するサービス業</t>
  </si>
  <si>
    <t>41 映像・音声・文字情報制作業</t>
  </si>
  <si>
    <t>32 その他の製造業</t>
  </si>
  <si>
    <t>90 機械等修理業（別掲を除く）</t>
  </si>
  <si>
    <t>43 道路旅客運送業</t>
  </si>
  <si>
    <t>17 石油製品・石炭製品製造業</t>
  </si>
  <si>
    <t>47 倉庫業</t>
  </si>
  <si>
    <t>30 情報通信機械器具製造業</t>
  </si>
  <si>
    <t>40 インターネット附随サービス業</t>
  </si>
  <si>
    <t>71 学術・開発研究機関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</si>
  <si>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</si>
  <si>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</si>
  <si>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</si>
  <si>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</si>
  <si>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</si>
  <si>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</si>
  <si>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</si>
  <si>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</si>
  <si>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</si>
  <si>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</si>
  <si>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</si>
  <si>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</si>
  <si>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</si>
  <si>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</si>
  <si>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</si>
  <si>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</si>
  <si>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</si>
  <si>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</si>
  <si>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</si>
  <si>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</si>
  <si>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</si>
  <si>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</si>
  <si>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682 不動産代理業・仲介業</t>
  </si>
  <si>
    <t>693 駐車場業</t>
  </si>
  <si>
    <t>694 不動産管理業</t>
  </si>
  <si>
    <t>724 公認会計士事務所，税理士事務所</t>
  </si>
  <si>
    <t>767 喫茶店</t>
  </si>
  <si>
    <t>781 洗濯業</t>
  </si>
  <si>
    <t>789 その他の洗濯・理容・美容・浴場業</t>
  </si>
  <si>
    <t>079 その他の職別工事業</t>
  </si>
  <si>
    <t>083 管工事業（さく井工事業を除く）</t>
  </si>
  <si>
    <t>521 農畜産物・水産物卸売業</t>
  </si>
  <si>
    <t>522 食料・飲料卸売業</t>
  </si>
  <si>
    <t>586 菓子・パン小売業</t>
  </si>
  <si>
    <t>593 機械器具小売業（自動車，自転車を除く）</t>
  </si>
  <si>
    <t>605 燃料小売業</t>
  </si>
  <si>
    <t>674 保険媒介代理業</t>
  </si>
  <si>
    <t>761 食堂，レストラン（専門料理店を除く）</t>
  </si>
  <si>
    <t>799 他に分類されない生活関連サービス業</t>
  </si>
  <si>
    <t>823 学習塾</t>
  </si>
  <si>
    <t>582 野菜・果実小売業</t>
  </si>
  <si>
    <t>585 酒小売業</t>
  </si>
  <si>
    <t>077 塗装工事業</t>
  </si>
  <si>
    <t>855 障害者福祉事業</t>
  </si>
  <si>
    <t>313 船舶製造・修理業，舶用機関製造業</t>
  </si>
  <si>
    <t>452 沿海海運業</t>
  </si>
  <si>
    <t>584 鮮魚小売業</t>
  </si>
  <si>
    <t>854 老人福祉・介護事業</t>
  </si>
  <si>
    <t>751 旅館，ホテル</t>
  </si>
  <si>
    <t>951 集会場</t>
  </si>
  <si>
    <t>611 通信販売・訪問販売小売業</t>
  </si>
  <si>
    <t>071 大工工事業</t>
  </si>
  <si>
    <t>103 茶・コーヒー製造業（清涼飲料を除く）</t>
  </si>
  <si>
    <t>121 製材業，木製品製造業</t>
  </si>
  <si>
    <t>772 配達飲食サービス業</t>
  </si>
  <si>
    <t>063 舗装工事業</t>
  </si>
  <si>
    <t>073 鉄骨・鉄筋工事業</t>
  </si>
  <si>
    <t>076 板金・金物工事業</t>
  </si>
  <si>
    <t>094 調味料製造業</t>
  </si>
  <si>
    <t>097 パン・菓子製造業</t>
  </si>
  <si>
    <t>161 化学肥料製造業</t>
  </si>
  <si>
    <t>219 その他の窯業・土石製品製造業</t>
  </si>
  <si>
    <t>244 建設用・建築用金属製品製造業（製缶板金業を含む）</t>
  </si>
  <si>
    <t>331 電気業</t>
  </si>
  <si>
    <t>361 上水道業</t>
  </si>
  <si>
    <t>391 ソフトウェア業</t>
  </si>
  <si>
    <t>441 一般貨物自動車運送業</t>
  </si>
  <si>
    <t>559 他に分類されない卸売業</t>
  </si>
  <si>
    <t>581 各種食料品小売業</t>
  </si>
  <si>
    <t>601 家具・建具・畳小売業</t>
  </si>
  <si>
    <t>602 じゅう器小売業</t>
  </si>
  <si>
    <t>604 農耕用品小売業</t>
  </si>
  <si>
    <t>607 スポーツ用品・がん具・娯楽用品・楽器小売業</t>
  </si>
  <si>
    <t>704 自動車賃貸業</t>
  </si>
  <si>
    <t>722 公証人役場，司法書士事務所，土地家屋調査士事務所</t>
  </si>
  <si>
    <t>723 行政書士事務所</t>
  </si>
  <si>
    <t>763 そば・うどん店</t>
  </si>
  <si>
    <t>833 歯科診療所</t>
  </si>
  <si>
    <t>882 産業廃棄物処理業</t>
  </si>
  <si>
    <t>929 他に分類されない事業サービス業</t>
  </si>
  <si>
    <t>099 その他の食料品製造業</t>
  </si>
  <si>
    <t>214 陶磁器・同関連製品製造業</t>
  </si>
  <si>
    <t>531 建築材料卸売業</t>
  </si>
  <si>
    <t>853 児童福祉事業</t>
  </si>
  <si>
    <t>541 産業機械器具卸売業</t>
  </si>
  <si>
    <t>583 食肉小売業</t>
  </si>
  <si>
    <t>579 その他の織物・衣服・身の回り品小売業</t>
  </si>
  <si>
    <t>075 左官工事業</t>
  </si>
  <si>
    <t>759 その他の宿泊業</t>
  </si>
  <si>
    <t>606 書籍・文房具小売業</t>
  </si>
  <si>
    <t>091 畜産食料品製造業</t>
  </si>
  <si>
    <t>101 清涼飲料製造業</t>
  </si>
  <si>
    <t>411 映像情報制作・配給業</t>
  </si>
  <si>
    <t>536 再生資源卸売業</t>
  </si>
  <si>
    <t>741 獣医業</t>
  </si>
  <si>
    <t>859 その他の社会保険・社会福祉・介護事業</t>
  </si>
  <si>
    <t>131 家具製造業</t>
  </si>
  <si>
    <t>752 簡易宿所</t>
  </si>
  <si>
    <t>769 その他の飲食店</t>
  </si>
  <si>
    <t>078 床・内装工事業</t>
  </si>
  <si>
    <t>574 靴・履物小売業</t>
  </si>
  <si>
    <t>608 写真機・時計・眼鏡小売業</t>
  </si>
  <si>
    <t>072 とび・土工・コンクリート工事業</t>
  </si>
  <si>
    <t>092 水産食料品製造業</t>
  </si>
  <si>
    <t>328 畳等生活雑貨製品製造業</t>
  </si>
  <si>
    <t>392 情報処理・提供サービス業</t>
  </si>
  <si>
    <t>901 機械修理業（電気機械器具を除く）</t>
  </si>
  <si>
    <t>922 建物サービス業</t>
  </si>
  <si>
    <t>082 電気通信・信号装置工事業</t>
  </si>
  <si>
    <t>089 その他の設備工事業</t>
  </si>
  <si>
    <t>174 舗装材料製造業</t>
  </si>
  <si>
    <t>210 管理，補助的経済活動を行う事業所</t>
  </si>
  <si>
    <t>212 セメント・同製品製造業</t>
  </si>
  <si>
    <t>326 ペン・鉛筆・絵画用品・その他の事務用品製造業</t>
  </si>
  <si>
    <t>412 音声情報制作業</t>
  </si>
  <si>
    <t>472 冷蔵倉庫業</t>
  </si>
  <si>
    <t>681 建物売買業，土地売買業</t>
  </si>
  <si>
    <t>702 産業用機械器具賃貸業</t>
  </si>
  <si>
    <t>729 その他の専門サービス業</t>
  </si>
  <si>
    <t>821 社会教育</t>
  </si>
  <si>
    <t>881 一般廃棄物処理業</t>
  </si>
  <si>
    <t>329 他に分類されない製造業</t>
  </si>
  <si>
    <t>796 冠婚葬祭業</t>
  </si>
  <si>
    <t>102 酒類製造業</t>
  </si>
  <si>
    <t>133 建具製造業</t>
  </si>
  <si>
    <t>151 印刷業</t>
  </si>
  <si>
    <t>066 建築リフォーム工事業</t>
  </si>
  <si>
    <t>093 野菜缶詰・果実缶詰・農産保存食料品製造業</t>
  </si>
  <si>
    <t>129 その他の木製品製造業（竹，とうを含む）</t>
  </si>
  <si>
    <t>705 スポーツ・娯楽用品賃貸業</t>
  </si>
  <si>
    <t>711 自然科学研究所</t>
  </si>
  <si>
    <t>795 火葬・墓地管理業</t>
  </si>
  <si>
    <t>804 スポーツ施設提供業</t>
  </si>
  <si>
    <t>106 飼料・有機質肥料製造業</t>
  </si>
  <si>
    <t>242 洋食器・刃物・手道具・金物類製造業</t>
  </si>
  <si>
    <t>911 職業紹介業</t>
  </si>
  <si>
    <t>061 一般土木建築工事業</t>
  </si>
  <si>
    <t>118 和装製品・その他の衣服・繊維製身の回り品製造業</t>
  </si>
  <si>
    <t>432 一般乗用旅客自動車運送業</t>
  </si>
  <si>
    <t>483 運送代理店</t>
  </si>
  <si>
    <t>571 呉服・服地・寝具小売業</t>
  </si>
  <si>
    <t>123 木製容器製造業（竹，とうを含む）</t>
  </si>
  <si>
    <t>218 骨材・石工品等製造業</t>
  </si>
  <si>
    <t>533 石油・鉱物卸売業</t>
  </si>
  <si>
    <t>809 その他の娯楽業</t>
  </si>
  <si>
    <t>産業小分類</t>
  </si>
  <si>
    <t>43000　熊本県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</si>
  <si>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</si>
  <si>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</si>
  <si>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</si>
  <si>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</si>
  <si>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</si>
  <si>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43100　熊本市</t>
  </si>
  <si>
    <t>43101　熊本市中央区</t>
  </si>
  <si>
    <t>43102　熊本市東区</t>
  </si>
  <si>
    <t>43103　熊本市西区</t>
  </si>
  <si>
    <t>43104　熊本市南区</t>
  </si>
  <si>
    <t>43105　熊本市北区</t>
  </si>
  <si>
    <t>43202　八代市</t>
  </si>
  <si>
    <t>43203　人吉市</t>
  </si>
  <si>
    <t>43204　荒尾市</t>
  </si>
  <si>
    <t>43205　水俣市</t>
  </si>
  <si>
    <t>43206　玉名市</t>
  </si>
  <si>
    <t>43208　山鹿市</t>
  </si>
  <si>
    <t>43210　菊池市</t>
  </si>
  <si>
    <t>43211　宇土市</t>
  </si>
  <si>
    <t>43212　上天草市</t>
  </si>
  <si>
    <t>43213　宇城市</t>
  </si>
  <si>
    <t>43214　阿蘇市</t>
  </si>
  <si>
    <t>43215　天草市</t>
  </si>
  <si>
    <t>43216　合志市</t>
  </si>
  <si>
    <t>43348　下益城郡美里町</t>
  </si>
  <si>
    <t>43364　玉名郡玉東町</t>
  </si>
  <si>
    <t>43367　玉名郡南関町</t>
  </si>
  <si>
    <t>43368　玉名郡長洲町</t>
  </si>
  <si>
    <t>43369　玉名郡和水町</t>
  </si>
  <si>
    <t>43403　菊池郡大津町</t>
  </si>
  <si>
    <t>43404　菊池郡菊陽町</t>
  </si>
  <si>
    <t>43423　阿蘇郡南小国町</t>
  </si>
  <si>
    <t>43424　阿蘇郡小国町</t>
  </si>
  <si>
    <t>43425　阿蘇郡産山村</t>
  </si>
  <si>
    <t>43428　阿蘇郡高森町</t>
  </si>
  <si>
    <t>43432　阿蘇郡西原村</t>
  </si>
  <si>
    <t>43433　阿蘇郡南阿蘇村</t>
  </si>
  <si>
    <t>43441　上益城郡御船町</t>
  </si>
  <si>
    <t>43442　上益城郡嘉島町</t>
  </si>
  <si>
    <t>43443　上益城郡益城町</t>
  </si>
  <si>
    <t>43444　上益城郡甲佐町</t>
  </si>
  <si>
    <t>43447　上益城郡山都町</t>
  </si>
  <si>
    <t>43468　八代郡氷川町</t>
  </si>
  <si>
    <t>43482　葦北郡芦北町</t>
  </si>
  <si>
    <t>43484　葦北郡津奈木町</t>
  </si>
  <si>
    <t>43501　球磨郡錦町</t>
  </si>
  <si>
    <t>43505　球磨郡多良木町</t>
  </si>
  <si>
    <t>43506　球磨郡湯前町</t>
  </si>
  <si>
    <t>43507　球磨郡水上村</t>
  </si>
  <si>
    <t>43510　球磨郡相良村</t>
  </si>
  <si>
    <t>43511　球磨郡五木村</t>
  </si>
  <si>
    <t>43512　球磨郡山江村</t>
  </si>
  <si>
    <t>43513　球磨郡球磨村</t>
  </si>
  <si>
    <t>43514　球磨郡あさぎり町</t>
  </si>
  <si>
    <t>43531　天草郡苓北町</t>
  </si>
  <si>
    <t>熊本県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</si>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</sst>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76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8443865742" createdVersion="5" refreshedVersion="8" minRefreshableVersion="3" recordCount="765" xr:uid="{25665D3E-FAC2-41DC-807A-73FECAFB65FF}">
  <cacheSource type="external" connectionId="1"/>
  <cacheFields count="11">
    <cacheField name="都道府県" numFmtId="0" sqlType="-9">
      <sharedItems count="1">
        <s v="43 熊本県"/>
      </sharedItems>
    </cacheField>
    <cacheField name="自治体名" numFmtId="0" sqlType="-9">
      <sharedItems/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0645"/>
    </cacheField>
    <cacheField name="構成比" numFmtId="0" sqlType="3">
      <sharedItems containsSemiMixedTypes="0" containsString="0" containsNumber="1" minValue="0" maxValue="38.630000000000003"/>
    </cacheField>
    <cacheField name="総数（個人）" numFmtId="0" sqlType="4">
      <sharedItems containsSemiMixedTypes="0" containsString="0" containsNumber="1" containsInteger="1" minValue="0" maxValue="4953"/>
    </cacheField>
    <cacheField name="構成比（個人）" numFmtId="0" sqlType="3">
      <sharedItems containsSemiMixedTypes="0" containsString="0" containsNumber="1" minValue="0" maxValue="45.83"/>
    </cacheField>
    <cacheField name="総数（法人）" numFmtId="0" sqlType="4">
      <sharedItems containsSemiMixedTypes="0" containsString="0" containsNumber="1" containsInteger="1" minValue="0" maxValue="5656"/>
    </cacheField>
    <cacheField name="構成比（法人）" numFmtId="0" sqlType="3">
      <sharedItems containsSemiMixedTypes="0" containsString="0" containsNumber="1" minValue="0" maxValue="48.48"/>
    </cacheField>
    <cacheField name="総数（法人以外の団体）" numFmtId="0" sqlType="4">
      <sharedItems containsSemiMixedTypes="0" containsString="0" containsNumber="1" containsInteger="1" minValue="0" maxValue="126" count="16">
        <n v="0"/>
        <n v="6"/>
        <n v="8"/>
        <n v="35"/>
        <n v="7"/>
        <n v="5"/>
        <n v="4"/>
        <n v="126"/>
        <n v="2"/>
        <n v="1"/>
        <n v="41"/>
        <n v="9"/>
        <n v="18"/>
        <n v="3"/>
        <n v="15"/>
        <n v="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8572800928" createdVersion="5" refreshedVersion="8" minRefreshableVersion="3" recordCount="1119" xr:uid="{D58BB4D4-6F10-4E32-BE67-C7D776808591}">
  <cacheSource type="external" connectionId="2"/>
  <cacheFields count="14">
    <cacheField name="都道府県" numFmtId="0" sqlType="-9">
      <sharedItems count="1">
        <s v="43 熊本県"/>
      </sharedItems>
    </cacheField>
    <cacheField name="自治体名" numFmtId="0" sqlType="-9">
      <sharedItems count="51">
        <s v="熊本県"/>
        <s v="熊本市"/>
        <s v="熊本市中央区"/>
        <s v="熊本市東区"/>
        <s v="熊本市西区"/>
        <s v="熊本市南区"/>
        <s v="熊本市北区"/>
        <s v="八代市"/>
        <s v="人吉市"/>
        <s v="荒尾市"/>
        <s v="水俣市"/>
        <s v="玉名市"/>
        <s v="山鹿市"/>
        <s v="菊池市"/>
        <s v="宇土市"/>
        <s v="上天草市"/>
        <s v="宇城市"/>
        <s v="阿蘇市"/>
        <s v="天草市"/>
        <s v="合志市"/>
        <s v="下益城郡美里町"/>
        <s v="玉名郡玉東町"/>
        <s v="玉名郡南関町"/>
        <s v="玉名郡長洲町"/>
        <s v="玉名郡和水町"/>
        <s v="菊池郡大津町"/>
        <s v="菊池郡菊陽町"/>
        <s v="阿蘇郡南小国町"/>
        <s v="阿蘇郡小国町"/>
        <s v="阿蘇郡産山村"/>
        <s v="阿蘇郡高森町"/>
        <s v="阿蘇郡西原村"/>
        <s v="阿蘇郡南阿蘇村"/>
        <s v="上益城郡御船町"/>
        <s v="上益城郡嘉島町"/>
        <s v="上益城郡益城町"/>
        <s v="上益城郡甲佐町"/>
        <s v="上益城郡山都町"/>
        <s v="八代郡氷川町"/>
        <s v="葦北郡芦北町"/>
        <s v="葦北郡津奈木町"/>
        <s v="球磨郡錦町"/>
        <s v="球磨郡多良木町"/>
        <s v="球磨郡湯前町"/>
        <s v="球磨郡水上村"/>
        <s v="球磨郡相良村"/>
        <s v="球磨郡五木村"/>
        <s v="球磨郡山江村"/>
        <s v="球磨郡球磨村"/>
        <s v="球磨郡あさぎり町"/>
        <s v="天草郡苓北町"/>
      </sharedItems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産業分類コード" numFmtId="0" sqlType="-8">
      <sharedItems count="59">
        <s v="78"/>
        <s v="76"/>
        <s v="60"/>
        <s v="06"/>
        <s v="69"/>
        <s v="58"/>
        <s v="07"/>
        <s v="59"/>
        <s v="08"/>
        <s v="82"/>
        <s v="72"/>
        <s v="83"/>
        <s v="57"/>
        <s v="74"/>
        <s v="89"/>
        <s v="68"/>
        <s v="85"/>
        <s v="54"/>
        <s v="09"/>
        <s v="52"/>
        <s v="55"/>
        <s v="92"/>
        <s v="79"/>
        <s v="67"/>
        <s v="61"/>
        <s v="53"/>
        <s v="80"/>
        <s v="77"/>
        <s v="24"/>
        <s v="45"/>
        <s v="31"/>
        <s v="11"/>
        <s v="75"/>
        <s v="95"/>
        <s v="10"/>
        <s v="12"/>
        <s v="21"/>
        <s v="13"/>
        <s v="33"/>
        <s v="36"/>
        <s v="44"/>
        <s v="16"/>
        <s v="39"/>
        <s v="70"/>
        <s v="88"/>
        <s v="26"/>
        <s v="91"/>
        <s v="15"/>
        <s v="38"/>
        <s v="48"/>
        <s v="41"/>
        <s v="32"/>
        <s v="90"/>
        <s v="43"/>
        <s v="17"/>
        <s v="47"/>
        <s v="30"/>
        <s v="40"/>
        <s v="71"/>
      </sharedItems>
    </cacheField>
    <cacheField name="産業分類" numFmtId="0" sqlType="-9">
      <sharedItems count="59">
        <s v="洗濯・理容・美容・浴場業"/>
        <s v="飲食店"/>
        <s v="その他の小売業"/>
        <s v="総合工事業"/>
        <s v="不動産賃貸業・管理業"/>
        <s v="飲食料品小売業"/>
        <s v="職別工事業（設備工事業を除く）"/>
        <s v="機械器具小売業"/>
        <s v="設備工事業"/>
        <s v="その他の教育，学習支援業"/>
        <s v="専門サービス業（他に分類されないもの）"/>
        <s v="医療業"/>
        <s v="織物・衣服・身の回り品小売業"/>
        <s v="技術サービス業（他に分類されないもの）"/>
        <s v="自動車整備業"/>
        <s v="不動産取引業"/>
        <s v="社会保険・社会福祉・介護事業"/>
        <s v="機械器具卸売業"/>
        <s v="食料品製造業"/>
        <s v="飲食料品卸売業"/>
        <s v="その他の卸売業"/>
        <s v="その他の事業サービス業"/>
        <s v="その他の生活関連サービス業"/>
        <s v="保険業（保険媒介代理業，保険サービス業を含む）"/>
        <s v="無店舗小売業"/>
        <s v="建築材料，鉱物・金属材料等卸売業"/>
        <s v="娯楽業"/>
        <s v="持ち帰り・配達飲食サービス業"/>
        <s v="金属製品製造業"/>
        <s v="水運業"/>
        <s v="輸送用機械器具製造業"/>
        <s v="繊維工業"/>
        <s v="宿泊業"/>
        <s v="その他のサービス業"/>
        <s v="飲料・たばこ・飼料製造業"/>
        <s v="木材・木製品製造業（家具を除く）"/>
        <s v="窯業・土石製品製造業"/>
        <s v="家具・装備品製造業"/>
        <s v="電気業"/>
        <s v="水道業"/>
        <s v="道路貨物運送業"/>
        <s v="化学工業"/>
        <s v="情報サービス業"/>
        <s v="物品賃貸業"/>
        <s v="廃棄物処理業"/>
        <s v="生産用機械器具製造業"/>
        <s v="職業紹介・労働者派遣業"/>
        <s v="印刷・同関連業"/>
        <s v="放送業"/>
        <s v="運輸に附帯するサービス業"/>
        <s v="映像・音声・文字情報制作業"/>
        <s v="その他の製造業"/>
        <s v="機械等修理業（別掲を除く）"/>
        <s v="道路旅客運送業"/>
        <s v="石油製品・石炭製品製造業"/>
        <s v="倉庫業"/>
        <s v="情報通信機械器具製造業"/>
        <s v="インターネット附随サービス業"/>
        <s v="学術・開発研究機関"/>
      </sharedItems>
    </cacheField>
    <cacheField name="産業中分類" numFmtId="0" sqlType="-9">
      <sharedItems count="59">
        <s v="78 洗濯・理容・美容・浴場業"/>
        <s v="76 飲食店"/>
        <s v="60 その他の小売業"/>
        <s v="06 総合工事業"/>
        <s v="69 不動産賃貸業・管理業"/>
        <s v="58 飲食料品小売業"/>
        <s v="07 職別工事業（設備工事業を除く）"/>
        <s v="59 機械器具小売業"/>
        <s v="08 設備工事業"/>
        <s v="82 その他の教育，学習支援業"/>
        <s v="72 専門サービス業（他に分類されないもの）"/>
        <s v="83 医療業"/>
        <s v="57 織物・衣服・身の回り品小売業"/>
        <s v="74 技術サービス業（他に分類されないもの）"/>
        <s v="89 自動車整備業"/>
        <s v="68 不動産取引業"/>
        <s v="85 社会保険・社会福祉・介護事業"/>
        <s v="54 機械器具卸売業"/>
        <s v="09 食料品製造業"/>
        <s v="52 飲食料品卸売業"/>
        <s v="55 その他の卸売業"/>
        <s v="92 その他の事業サービス業"/>
        <s v="79 その他の生活関連サービス業"/>
        <s v="67 保険業（保険媒介代理業，保険サービス業を含む）"/>
        <s v="61 無店舗小売業"/>
        <s v="53 建築材料，鉱物・金属材料等卸売業"/>
        <s v="80 娯楽業"/>
        <s v="77 持ち帰り・配達飲食サービス業"/>
        <s v="24 金属製品製造業"/>
        <s v="45 水運業"/>
        <s v="31 輸送用機械器具製造業"/>
        <s v="11 繊維工業"/>
        <s v="75 宿泊業"/>
        <s v="95 その他のサービス業"/>
        <s v="10 飲料・たばこ・飼料製造業"/>
        <s v="12 木材・木製品製造業（家具を除く）"/>
        <s v="21 窯業・土石製品製造業"/>
        <s v="13 家具・装備品製造業"/>
        <s v="33 電気業"/>
        <s v="36 水道業"/>
        <s v="44 道路貨物運送業"/>
        <s v="16 化学工業"/>
        <s v="39 情報サービス業"/>
        <s v="70 物品賃貸業"/>
        <s v="88 廃棄物処理業"/>
        <s v="26 生産用機械器具製造業"/>
        <s v="91 職業紹介・労働者派遣業"/>
        <s v="15 印刷・同関連業"/>
        <s v="38 放送業"/>
        <s v="48 運輸に附帯するサービス業"/>
        <s v="41 映像・音声・文字情報制作業"/>
        <s v="32 その他の製造業"/>
        <s v="90 機械等修理業（別掲を除く）"/>
        <s v="43 道路旅客運送業"/>
        <s v="17 石油製品・石炭製品製造業"/>
        <s v="47 倉庫業"/>
        <s v="30 情報通信機械器具製造業"/>
        <s v="40 インターネット附随サービス業"/>
        <s v="71 学術・開発研究機関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459" count="193">
        <n v="4459"/>
        <n v="4098"/>
        <n v="3057"/>
        <n v="2856"/>
        <n v="2617"/>
        <n v="2374"/>
        <n v="1616"/>
        <n v="1508"/>
        <n v="1375"/>
        <n v="1304"/>
        <n v="1278"/>
        <n v="1249"/>
        <n v="1102"/>
        <n v="1003"/>
        <n v="772"/>
        <n v="719"/>
        <n v="695"/>
        <n v="571"/>
        <n v="551"/>
        <n v="543"/>
        <n v="1652"/>
        <n v="1636"/>
        <n v="1555"/>
        <n v="1028"/>
        <n v="977"/>
        <n v="765"/>
        <n v="630"/>
        <n v="579"/>
        <n v="578"/>
        <n v="572"/>
        <n v="533"/>
        <n v="510"/>
        <n v="498"/>
        <n v="495"/>
        <n v="467"/>
        <n v="328"/>
        <n v="272"/>
        <n v="239"/>
        <n v="234"/>
        <n v="219"/>
        <n v="1101"/>
        <n v="438"/>
        <n v="364"/>
        <n v="311"/>
        <n v="213"/>
        <n v="207"/>
        <n v="202"/>
        <n v="198"/>
        <n v="192"/>
        <n v="182"/>
        <n v="126"/>
        <n v="101"/>
        <n v="99"/>
        <n v="92"/>
        <n v="91"/>
        <n v="90"/>
        <n v="77"/>
        <n v="75"/>
        <n v="399"/>
        <n v="330"/>
        <n v="309"/>
        <n v="225"/>
        <n v="196"/>
        <n v="195"/>
        <n v="183"/>
        <n v="177"/>
        <n v="159"/>
        <n v="156"/>
        <n v="143"/>
        <n v="138"/>
        <n v="128"/>
        <n v="121"/>
        <n v="96"/>
        <n v="78"/>
        <n v="59"/>
        <n v="56"/>
        <n v="54"/>
        <n v="167"/>
        <n v="130"/>
        <n v="117"/>
        <n v="103"/>
        <n v="84"/>
        <n v="60"/>
        <n v="52"/>
        <n v="51"/>
        <n v="49"/>
        <n v="48"/>
        <n v="45"/>
        <n v="40"/>
        <n v="38"/>
        <n v="37"/>
        <n v="32"/>
        <n v="31"/>
        <n v="26"/>
        <n v="252"/>
        <n v="188"/>
        <n v="178"/>
        <n v="158"/>
        <n v="129"/>
        <n v="100"/>
        <n v="87"/>
        <n v="81"/>
        <n v="68"/>
        <n v="65"/>
        <n v="55"/>
        <n v="50"/>
        <n v="35"/>
        <n v="255"/>
        <n v="211"/>
        <n v="186"/>
        <n v="125"/>
        <n v="116"/>
        <n v="111"/>
        <n v="98"/>
        <n v="95"/>
        <n v="86"/>
        <n v="53"/>
        <n v="46"/>
        <n v="36"/>
        <n v="33"/>
        <n v="347"/>
        <n v="265"/>
        <n v="224"/>
        <n v="210"/>
        <n v="184"/>
        <n v="137"/>
        <n v="110"/>
        <n v="79"/>
        <n v="73"/>
        <n v="70"/>
        <n v="44"/>
        <n v="42"/>
        <n v="82"/>
        <n v="69"/>
        <n v="47"/>
        <n v="43"/>
        <n v="34"/>
        <n v="21"/>
        <n v="18"/>
        <n v="17"/>
        <n v="15"/>
        <n v="14"/>
        <n v="150"/>
        <n v="76"/>
        <n v="64"/>
        <n v="29"/>
        <n v="28"/>
        <n v="22"/>
        <n v="20"/>
        <n v="19"/>
        <n v="13"/>
        <n v="93"/>
        <n v="24"/>
        <n v="16"/>
        <n v="11"/>
        <n v="10"/>
        <n v="9"/>
        <n v="30"/>
        <n v="25"/>
        <n v="185"/>
        <n v="160"/>
        <n v="57"/>
        <n v="41"/>
        <n v="39"/>
        <n v="27"/>
        <n v="118"/>
        <n v="74"/>
        <n v="94"/>
        <n v="61"/>
        <n v="114"/>
        <n v="104"/>
        <n v="85"/>
        <n v="149"/>
        <n v="97"/>
        <n v="316"/>
        <n v="271"/>
        <n v="263"/>
        <n v="251"/>
        <n v="172"/>
        <n v="123"/>
        <n v="115"/>
        <n v="80"/>
        <n v="72"/>
        <n v="12"/>
        <n v="8"/>
        <n v="7"/>
        <n v="6"/>
        <n v="5"/>
        <n v="4"/>
        <n v="3"/>
        <n v="2"/>
        <n v="1"/>
        <n v="23"/>
      </sharedItems>
    </cacheField>
    <cacheField name="構成比" numFmtId="0" sqlType="3">
      <sharedItems containsSemiMixedTypes="0" containsString="0" containsNumber="1" minValue="0.61" maxValue="20" count="459">
        <n v="10.78"/>
        <n v="9.9"/>
        <n v="7.39"/>
        <n v="6.9"/>
        <n v="6.32"/>
        <n v="5.74"/>
        <n v="3.91"/>
        <n v="3.64"/>
        <n v="3.32"/>
        <n v="3.15"/>
        <n v="3.09"/>
        <n v="3.02"/>
        <n v="2.66"/>
        <n v="2.42"/>
        <n v="1.87"/>
        <n v="1.74"/>
        <n v="1.68"/>
        <n v="1.38"/>
        <n v="1.33"/>
        <n v="1.31"/>
        <n v="9.9499999999999993"/>
        <n v="9.86"/>
        <n v="9.3699999999999992"/>
        <n v="6.19"/>
        <n v="5.89"/>
        <n v="4.6100000000000003"/>
        <n v="3.8"/>
        <n v="3.49"/>
        <n v="3.48"/>
        <n v="3.45"/>
        <n v="3.21"/>
        <n v="3.07"/>
        <n v="3"/>
        <n v="2.98"/>
        <n v="2.81"/>
        <n v="1.98"/>
        <n v="1.64"/>
        <n v="1.44"/>
        <n v="1.41"/>
        <n v="1.32"/>
        <n v="17.43"/>
        <n v="11.38"/>
        <n v="9.17"/>
        <n v="6.93"/>
        <n v="5.76"/>
        <n v="4.92"/>
        <n v="3.37"/>
        <n v="3.28"/>
        <n v="3.2"/>
        <n v="3.13"/>
        <n v="3.04"/>
        <n v="2.88"/>
        <n v="1.99"/>
        <n v="1.6"/>
        <n v="1.57"/>
        <n v="1.46"/>
        <n v="1.42"/>
        <n v="1.22"/>
        <n v="1.19"/>
        <n v="10.210000000000001"/>
        <n v="8.44"/>
        <n v="7.91"/>
        <n v="5.0199999999999996"/>
        <n v="4.99"/>
        <n v="4.68"/>
        <n v="4.53"/>
        <n v="4.07"/>
        <n v="3.99"/>
        <n v="3.66"/>
        <n v="3.53"/>
        <n v="3.1"/>
        <n v="2.46"/>
        <n v="2"/>
        <n v="1.97"/>
        <n v="1.51"/>
        <n v="1.43"/>
        <n v="10.84"/>
        <n v="7.59"/>
        <n v="6.68"/>
        <n v="6.23"/>
        <n v="5.45"/>
        <n v="3.89"/>
        <n v="3.31"/>
        <n v="3.18"/>
        <n v="3.11"/>
        <n v="2.92"/>
        <n v="2.6"/>
        <n v="2.4700000000000002"/>
        <n v="2.4"/>
        <n v="2.08"/>
        <n v="2.0099999999999998"/>
        <n v="1.69"/>
        <n v="10.27"/>
        <n v="7.66"/>
        <n v="7.26"/>
        <n v="6.44"/>
        <n v="5.26"/>
        <n v="5.14"/>
        <n v="4.12"/>
        <n v="4.08"/>
        <n v="3.71"/>
        <n v="3.55"/>
        <n v="3.3"/>
        <n v="2.77"/>
        <n v="2.65"/>
        <n v="2.4500000000000002"/>
        <n v="2.2400000000000002"/>
        <n v="2.2000000000000002"/>
        <n v="2.04"/>
        <n v="1.83"/>
        <n v="10.73"/>
        <n v="8.8800000000000008"/>
        <n v="7.82"/>
        <n v="4.88"/>
        <n v="4.67"/>
        <n v="4.16"/>
        <n v="4"/>
        <n v="3.62"/>
        <n v="3.24"/>
        <n v="2.48"/>
        <n v="2.23"/>
        <n v="2.06"/>
        <n v="2.02"/>
        <n v="1.94"/>
        <n v="1.39"/>
        <n v="10.53"/>
        <n v="8.0399999999999991"/>
        <n v="6.8"/>
        <n v="6.38"/>
        <n v="5.59"/>
        <n v="3.52"/>
        <n v="3.34"/>
        <n v="2.2200000000000002"/>
        <n v="2.13"/>
        <n v="1.61"/>
        <n v="1.55"/>
        <n v="1.34"/>
        <n v="1.28"/>
        <n v="17.350000000000001"/>
        <n v="12.53"/>
        <n v="7.19"/>
        <n v="6.05"/>
        <n v="4.5599999999999996"/>
        <n v="3.77"/>
        <n v="3.68"/>
        <n v="3.51"/>
        <n v="3.33"/>
        <n v="2.89"/>
        <n v="2.2799999999999998"/>
        <n v="1.84"/>
        <n v="1.58"/>
        <n v="1.49"/>
        <n v="1.23"/>
        <n v="16.29"/>
        <n v="8.25"/>
        <n v="7.49"/>
        <n v="6.95"/>
        <n v="6.08"/>
        <n v="5.0999999999999996"/>
        <n v="3.69"/>
        <n v="3.58"/>
        <n v="3.47"/>
        <n v="2.39"/>
        <n v="2.17"/>
        <n v="1.95"/>
        <n v="1.85"/>
        <n v="1.52"/>
        <n v="12.76"/>
        <n v="12.62"/>
        <n v="10.29"/>
        <n v="7.13"/>
        <n v="6.58"/>
        <n v="4.3899999999999997"/>
        <n v="3.57"/>
        <n v="3.29"/>
        <n v="2.19"/>
        <n v="1.92"/>
        <n v="1.78"/>
        <n v="1.37"/>
        <n v="12.69"/>
        <n v="9.5"/>
        <n v="9.19"/>
        <n v="7.83"/>
        <n v="5.85"/>
        <n v="5.17"/>
        <n v="3.95"/>
        <n v="3.5"/>
        <n v="2.58"/>
        <n v="1.9"/>
        <n v="1.67"/>
        <n v="1.1399999999999999"/>
        <n v="14.99"/>
        <n v="12.97"/>
        <n v="8.35"/>
        <n v="7.7"/>
        <n v="4.62"/>
        <n v="3.16"/>
        <n v="2.67"/>
        <n v="2.27"/>
        <n v="1.3"/>
        <n v="12.06"/>
        <n v="11.03"/>
        <n v="9.44"/>
        <n v="7.01"/>
        <n v="6.92"/>
        <n v="4.49"/>
        <n v="2.99"/>
        <n v="2.9"/>
        <n v="2.4300000000000002"/>
        <n v="2.34"/>
        <n v="1.96"/>
        <n v="1.59"/>
        <n v="1.5"/>
        <n v="1.4"/>
        <n v="1.21"/>
        <n v="12.3"/>
        <n v="8.3800000000000008"/>
        <n v="7.98"/>
        <n v="6.41"/>
        <n v="4.58"/>
        <n v="3.14"/>
        <n v="2.62"/>
        <n v="2.09"/>
        <n v="1.7"/>
        <n v="12.32"/>
        <n v="11.24"/>
        <n v="8.11"/>
        <n v="7.46"/>
        <n v="5.41"/>
        <n v="2.7"/>
        <n v="2.38"/>
        <n v="1.73"/>
        <n v="1.62"/>
        <n v="12.18"/>
        <n v="8.26"/>
        <n v="8.09"/>
        <n v="8.01"/>
        <n v="7.93"/>
        <n v="4.5"/>
        <n v="4.09"/>
        <n v="3.92"/>
        <n v="3.6"/>
        <n v="2.86"/>
        <n v="2.29"/>
        <n v="1.72"/>
        <n v="15.12"/>
        <n v="9.81"/>
        <n v="9.68"/>
        <n v="3.85"/>
        <n v="2.79"/>
        <n v="2.52"/>
        <n v="2.25"/>
        <n v="1.86"/>
        <n v="11.29"/>
        <n v="9.39"/>
        <n v="8.9600000000000009"/>
        <n v="6.14"/>
        <n v="4.1100000000000003"/>
        <n v="2.61"/>
        <n v="2.57"/>
        <n v="2.11"/>
        <n v="1.79"/>
        <n v="1.75"/>
        <n v="1.71"/>
        <n v="12.44"/>
        <n v="6.67"/>
        <n v="6.11"/>
        <n v="5.77"/>
        <n v="5.32"/>
        <n v="4.3"/>
        <n v="3.73"/>
        <n v="2.83"/>
        <n v="2.4900000000000002"/>
        <n v="2.2599999999999998"/>
        <n v="1.81"/>
        <n v="1.47"/>
        <n v="1.36"/>
        <n v="12.5"/>
        <n v="10.71"/>
        <n v="7.14"/>
        <n v="6.7"/>
        <n v="6.25"/>
        <n v="2.68"/>
        <n v="0.89"/>
        <n v="13"/>
        <n v="12"/>
        <n v="11"/>
        <n v="10"/>
        <n v="8"/>
        <n v="5"/>
        <n v="1"/>
        <n v="11.06"/>
        <n v="8.94"/>
        <n v="6.81"/>
        <n v="5.1100000000000003"/>
        <n v="3.83"/>
        <n v="3.4"/>
        <n v="2.5499999999999998"/>
        <n v="7.24"/>
        <n v="5.86"/>
        <n v="4.83"/>
        <n v="4.4800000000000004"/>
        <n v="2.76"/>
        <n v="2.41"/>
        <n v="10.44"/>
        <n v="9.64"/>
        <n v="8.84"/>
        <n v="7.63"/>
        <n v="7.23"/>
        <n v="6.83"/>
        <n v="5.22"/>
        <n v="4.0199999999999996"/>
        <n v="1.2"/>
        <n v="9.9700000000000006"/>
        <n v="9.4700000000000006"/>
        <n v="6.64"/>
        <n v="6.48"/>
        <n v="5.81"/>
        <n v="4.32"/>
        <n v="2.33"/>
        <n v="1.66"/>
        <n v="7.64"/>
        <n v="6.99"/>
        <n v="6.09"/>
        <n v="5.83"/>
        <n v="5.18"/>
        <n v="4.2699999999999996"/>
        <n v="4.1500000000000004"/>
        <n v="2.0699999999999998"/>
        <n v="19.02"/>
        <n v="11.66"/>
        <n v="9.1999999999999993"/>
        <n v="8.59"/>
        <n v="6.75"/>
        <n v="0.61"/>
        <n v="15.69"/>
        <n v="8.5"/>
        <n v="8.17"/>
        <n v="7.52"/>
        <n v="5.88"/>
        <n v="5.23"/>
        <n v="3.27"/>
        <n v="1.63"/>
        <n v="0.98"/>
        <n v="13.04"/>
        <n v="10.87"/>
        <n v="8.6999999999999993"/>
        <n v="6.52"/>
        <n v="4.3499999999999996"/>
        <n v="11.92"/>
        <n v="10.88"/>
        <n v="9.33"/>
        <n v="8.81"/>
        <n v="5.7"/>
        <n v="2.59"/>
        <n v="15.38"/>
        <n v="13.74"/>
        <n v="9.34"/>
        <n v="6.04"/>
        <n v="4.4000000000000004"/>
        <n v="2.75"/>
        <n v="1.65"/>
        <n v="1.1000000000000001"/>
        <n v="18.43"/>
        <n v="9.06"/>
        <n v="8.16"/>
        <n v="7.25"/>
        <n v="2.72"/>
        <n v="11.96"/>
        <n v="8.91"/>
        <n v="7.12"/>
        <n v="5.6"/>
        <n v="5.34"/>
        <n v="1.53"/>
        <n v="11.19"/>
        <n v="10.47"/>
        <n v="8.3000000000000007"/>
        <n v="7.58"/>
        <n v="3.61"/>
        <n v="3.25"/>
        <n v="2.5299999999999998"/>
        <n v="12.57"/>
        <n v="8.8699999999999992"/>
        <n v="7.95"/>
        <n v="5.36"/>
        <n v="4.25"/>
        <n v="3.88"/>
        <n v="3.7"/>
        <n v="2.96"/>
        <n v="1.48"/>
        <n v="1.29"/>
        <n v="10.69"/>
        <n v="10.34"/>
        <n v="9.66"/>
        <n v="16.12"/>
        <n v="11.08"/>
        <n v="9.57"/>
        <n v="9.07"/>
        <n v="7.05"/>
        <n v="4.28"/>
        <n v="4.03"/>
        <n v="3.78"/>
        <n v="1.26"/>
        <n v="1.01"/>
        <n v="12.54"/>
        <n v="8.7100000000000009"/>
        <n v="7.32"/>
        <n v="6.62"/>
        <n v="4.18"/>
        <n v="2.44"/>
        <n v="10.46"/>
        <n v="7.69"/>
        <n v="6.46"/>
        <n v="5.54"/>
        <n v="3.38"/>
        <n v="2.15"/>
        <n v="1.54"/>
        <n v="8.9700000000000006"/>
        <n v="5.13"/>
        <n v="2.56"/>
        <n v="8.33"/>
        <n v="4.82"/>
        <n v="2.63"/>
        <n v="18.079999999999998"/>
        <n v="13.46"/>
        <n v="9.6199999999999992"/>
        <n v="4.2300000000000004"/>
        <n v="3.46"/>
        <n v="3.08"/>
        <n v="2.69"/>
        <n v="2.31"/>
        <n v="15.65"/>
        <n v="10.43"/>
        <n v="0.87"/>
        <n v="17.739999999999998"/>
        <n v="12.9"/>
        <n v="8.06"/>
        <n v="6.45"/>
        <n v="4.84"/>
        <n v="3.23"/>
        <n v="14.15"/>
        <n v="9.43"/>
        <n v="7.55"/>
        <n v="6.6"/>
        <n v="4.72"/>
        <n v="1.89"/>
        <n v="16.13"/>
        <n v="16"/>
        <n v="20"/>
        <n v="11.43"/>
        <n v="8.57"/>
        <n v="5.71"/>
        <n v="14.29"/>
        <n v="11.54"/>
        <n v="7.42"/>
        <n v="6.59"/>
        <n v="7"/>
        <n v="5.5"/>
        <n v="2.5"/>
      </sharedItems>
    </cacheField>
    <cacheField name="総数（個人）" numFmtId="0" sqlType="4">
      <sharedItems containsSemiMixedTypes="0" containsString="0" containsNumber="1" containsInteger="1" minValue="0" maxValue="3878" count="148">
        <n v="3878"/>
        <n v="3478"/>
        <n v="1440"/>
        <n v="747"/>
        <n v="961"/>
        <n v="1635"/>
        <n v="726"/>
        <n v="960"/>
        <n v="414"/>
        <n v="911"/>
        <n v="818"/>
        <n v="1089"/>
        <n v="423"/>
        <n v="315"/>
        <n v="586"/>
        <n v="154"/>
        <n v="9"/>
        <n v="45"/>
        <n v="222"/>
        <n v="131"/>
        <n v="1381"/>
        <n v="1312"/>
        <n v="352"/>
        <n v="424"/>
        <n v="124"/>
        <n v="452"/>
        <n v="372"/>
        <n v="94"/>
        <n v="148"/>
        <n v="391"/>
        <n v="173"/>
        <n v="432"/>
        <n v="116"/>
        <n v="273"/>
        <n v="71"/>
        <n v="13"/>
        <n v="36"/>
        <n v="5"/>
        <n v="17"/>
        <n v="140"/>
        <n v="874"/>
        <n v="165"/>
        <n v="477"/>
        <n v="195"/>
        <n v="221"/>
        <n v="91"/>
        <n v="20"/>
        <n v="128"/>
        <n v="14"/>
        <n v="33"/>
        <n v="150"/>
        <n v="3"/>
        <n v="6"/>
        <n v="27"/>
        <n v="4"/>
        <n v="330"/>
        <n v="194"/>
        <n v="28"/>
        <n v="48"/>
        <n v="106"/>
        <n v="79"/>
        <n v="96"/>
        <n v="31"/>
        <n v="107"/>
        <n v="118"/>
        <n v="84"/>
        <n v="12"/>
        <n v="40"/>
        <n v="30"/>
        <n v="144"/>
        <n v="47"/>
        <n v="35"/>
        <n v="61"/>
        <n v="62"/>
        <n v="26"/>
        <n v="29"/>
        <n v="10"/>
        <n v="39"/>
        <n v="25"/>
        <n v="0"/>
        <n v="212"/>
        <n v="24"/>
        <n v="77"/>
        <n v="54"/>
        <n v="60"/>
        <n v="49"/>
        <n v="44"/>
        <n v="59"/>
        <n v="22"/>
        <n v="1"/>
        <n v="19"/>
        <n v="7"/>
        <n v="218"/>
        <n v="41"/>
        <n v="105"/>
        <n v="55"/>
        <n v="66"/>
        <n v="21"/>
        <n v="11"/>
        <n v="309"/>
        <n v="302"/>
        <n v="119"/>
        <n v="149"/>
        <n v="97"/>
        <n v="56"/>
        <n v="42"/>
        <n v="67"/>
        <n v="78"/>
        <n v="8"/>
        <n v="180"/>
        <n v="122"/>
        <n v="16"/>
        <n v="130"/>
        <n v="38"/>
        <n v="58"/>
        <n v="15"/>
        <n v="32"/>
        <n v="23"/>
        <n v="76"/>
        <n v="85"/>
        <n v="69"/>
        <n v="18"/>
        <n v="168"/>
        <n v="57"/>
        <n v="37"/>
        <n v="112"/>
        <n v="103"/>
        <n v="52"/>
        <n v="2"/>
        <n v="83"/>
        <n v="95"/>
        <n v="63"/>
        <n v="34"/>
        <n v="46"/>
        <n v="82"/>
        <n v="64"/>
        <n v="298"/>
        <n v="245"/>
        <n v="156"/>
        <n v="81"/>
        <n v="68"/>
        <n v="75"/>
        <n v="51"/>
        <n v="53"/>
        <n v="98"/>
        <n v="50"/>
        <n v="65"/>
        <n v="43"/>
      </sharedItems>
    </cacheField>
    <cacheField name="構成比（個人）" numFmtId="0" sqlType="3">
      <sharedItems containsSemiMixedTypes="0" containsString="0" containsNumber="1" minValue="0" maxValue="31.67" count="486">
        <n v="18.260000000000002"/>
        <n v="16.38"/>
        <n v="6.78"/>
        <n v="3.52"/>
        <n v="4.53"/>
        <n v="7.7"/>
        <n v="3.42"/>
        <n v="4.5199999999999996"/>
        <n v="1.95"/>
        <n v="4.29"/>
        <n v="3.85"/>
        <n v="5.13"/>
        <n v="1.99"/>
        <n v="1.48"/>
        <n v="2.76"/>
        <n v="0.73"/>
        <n v="0.04"/>
        <n v="0.21"/>
        <n v="1.05"/>
        <n v="0.62"/>
        <n v="19.73"/>
        <n v="18.739999999999998"/>
        <n v="5.03"/>
        <n v="6.06"/>
        <n v="1.77"/>
        <n v="6.46"/>
        <n v="5.31"/>
        <n v="1.34"/>
        <n v="2.11"/>
        <n v="5.59"/>
        <n v="2.4700000000000002"/>
        <n v="6.17"/>
        <n v="1.66"/>
        <n v="3.9"/>
        <n v="1.01"/>
        <n v="0.19"/>
        <n v="0.51"/>
        <n v="7.0000000000000007E-2"/>
        <n v="0.24"/>
        <n v="2"/>
        <n v="31.67"/>
        <n v="5.98"/>
        <n v="17.28"/>
        <n v="7.07"/>
        <n v="8.01"/>
        <n v="3.3"/>
        <n v="4.2"/>
        <n v="0.72"/>
        <n v="4.6399999999999997"/>
        <n v="1.2"/>
        <n v="5.43"/>
        <n v="0.11"/>
        <n v="0.22"/>
        <n v="0.33"/>
        <n v="1.63"/>
        <n v="0.47"/>
        <n v="0.98"/>
        <n v="0.14000000000000001"/>
        <n v="20.73"/>
        <n v="2.83"/>
        <n v="2.0699999999999998"/>
        <n v="12.19"/>
        <n v="1.76"/>
        <n v="3.02"/>
        <n v="6.66"/>
        <n v="4.96"/>
        <n v="6.03"/>
        <n v="6.72"/>
        <n v="7.41"/>
        <n v="5.28"/>
        <n v="1.26"/>
        <n v="0.25"/>
        <n v="0.75"/>
        <n v="2.5099999999999998"/>
        <n v="1.88"/>
        <n v="22.64"/>
        <n v="7.39"/>
        <n v="5.5"/>
        <n v="9.59"/>
        <n v="3.14"/>
        <n v="9.75"/>
        <n v="2.04"/>
        <n v="1.89"/>
        <n v="4.09"/>
        <n v="4.5599999999999996"/>
        <n v="1.57"/>
        <n v="6.13"/>
        <n v="3.93"/>
        <n v="0"/>
        <n v="0.94"/>
        <n v="1.42"/>
        <n v="21.31"/>
        <n v="2.91"/>
        <n v="6.23"/>
        <n v="4.72"/>
        <n v="2.41"/>
        <n v="7.74"/>
        <n v="4.92"/>
        <n v="4.42"/>
        <n v="5.93"/>
        <n v="2.21"/>
        <n v="1.41"/>
        <n v="0.1"/>
        <n v="1.91"/>
        <n v="0.7"/>
        <n v="0.3"/>
        <n v="21.44"/>
        <n v="6.1"/>
        <n v="2.75"/>
        <n v="4.03"/>
        <n v="10.32"/>
        <n v="2.56"/>
        <n v="6.98"/>
        <n v="4.82"/>
        <n v="5.41"/>
        <n v="6.49"/>
        <n v="2.06"/>
        <n v="1.08"/>
        <n v="3.54"/>
        <n v="1.97"/>
        <n v="0.28999999999999998"/>
        <n v="1.28"/>
        <n v="16.79"/>
        <n v="16.41"/>
        <n v="6.47"/>
        <n v="8.1"/>
        <n v="3.86"/>
        <n v="5.1100000000000003"/>
        <n v="5.27"/>
        <n v="3.04"/>
        <n v="2.2799999999999998"/>
        <n v="3.64"/>
        <n v="4.24"/>
        <n v="1.58"/>
        <n v="1.52"/>
        <n v="0.05"/>
        <n v="2.39"/>
        <n v="0.65"/>
        <n v="0.49"/>
        <n v="0.43"/>
        <n v="25.46"/>
        <n v="17.260000000000002"/>
        <n v="5.8"/>
        <n v="2.4"/>
        <n v="4.67"/>
        <n v="4.0999999999999996"/>
        <n v="2.2599999999999998"/>
        <n v="2.69"/>
        <n v="1.98"/>
        <n v="1.56"/>
        <n v="0.56999999999999995"/>
        <n v="0.42"/>
        <n v="1.1299999999999999"/>
        <n v="0.85"/>
        <n v="0.99"/>
        <n v="25.74"/>
        <n v="7.52"/>
        <n v="11.49"/>
        <n v="2.97"/>
        <n v="6.34"/>
        <n v="6.14"/>
        <n v="4.55"/>
        <n v="2.38"/>
        <n v="3.76"/>
        <n v="1.39"/>
        <n v="0.59"/>
        <n v="1.19"/>
        <n v="16.63"/>
        <n v="18.600000000000001"/>
        <n v="15.1"/>
        <n v="4.8099999999999996"/>
        <n v="3.94"/>
        <n v="4.5999999999999996"/>
        <n v="0.88"/>
        <n v="2.84"/>
        <n v="1.31"/>
        <n v="0.66"/>
        <n v="1.0900000000000001"/>
        <n v="19.95"/>
        <n v="9.0299999999999994"/>
        <n v="14.29"/>
        <n v="3.77"/>
        <n v="8.36"/>
        <n v="5.39"/>
        <n v="3.5"/>
        <n v="3.23"/>
        <n v="4.3099999999999996"/>
        <n v="1.35"/>
        <n v="1.21"/>
        <n v="0.54"/>
        <n v="21.93"/>
        <n v="18.8"/>
        <n v="7.96"/>
        <n v="2.74"/>
        <n v="7.44"/>
        <n v="5.48"/>
        <n v="3.39"/>
        <n v="4.7"/>
        <n v="4.83"/>
        <n v="1.44"/>
        <n v="1.7"/>
        <n v="2.35"/>
        <n v="0.78"/>
        <n v="0.39"/>
        <n v="19.41"/>
        <n v="17.850000000000001"/>
        <n v="4.51"/>
        <n v="9.01"/>
        <n v="5.55"/>
        <n v="4.8499999999999996"/>
        <n v="4.68"/>
        <n v="3.81"/>
        <n v="4.16"/>
        <n v="3.47"/>
        <n v="2.25"/>
        <n v="1.04"/>
        <n v="0.69"/>
        <n v="0.35"/>
        <n v="0.87"/>
        <n v="21.45"/>
        <n v="3.88"/>
        <n v="14.73"/>
        <n v="8.5299999999999994"/>
        <n v="4.3899999999999997"/>
        <n v="3.36"/>
        <n v="6.2"/>
        <n v="1.81"/>
        <n v="4.13"/>
        <n v="1.55"/>
        <n v="14.91"/>
        <n v="15.07"/>
        <n v="6.44"/>
        <n v="9.89"/>
        <n v="5.34"/>
        <n v="8.16"/>
        <n v="7.22"/>
        <n v="2.2000000000000002"/>
        <n v="1.73"/>
        <n v="1.1000000000000001"/>
        <n v="19.16"/>
        <n v="7.34"/>
        <n v="12.28"/>
        <n v="10.33"/>
        <n v="5.09"/>
        <n v="5.69"/>
        <n v="3.29"/>
        <n v="2.99"/>
        <n v="5.99"/>
        <n v="0.9"/>
        <n v="4.34"/>
        <n v="0.6"/>
        <n v="22.22"/>
        <n v="14.81"/>
        <n v="8.56"/>
        <n v="3.24"/>
        <n v="1.62"/>
        <n v="2.08"/>
        <n v="2.78"/>
        <n v="0.93"/>
        <n v="15.74"/>
        <n v="11.67"/>
        <n v="12.94"/>
        <n v="8.24"/>
        <n v="4.28"/>
        <n v="4.33"/>
        <n v="5.0199999999999996"/>
        <n v="3.59"/>
        <n v="3.96"/>
        <n v="2.8"/>
        <n v="2.2200000000000002"/>
        <n v="1.74"/>
        <n v="2.17"/>
        <n v="1.27"/>
        <n v="2.0099999999999998"/>
        <n v="0.95"/>
        <n v="24.2"/>
        <n v="2.72"/>
        <n v="13.09"/>
        <n v="5.19"/>
        <n v="9.14"/>
        <n v="7.65"/>
        <n v="8.4"/>
        <n v="3.21"/>
        <n v="6.9"/>
        <n v="19.309999999999999"/>
        <n v="8.9700000000000006"/>
        <n v="8.2799999999999994"/>
        <n v="3.45"/>
        <n v="1.38"/>
        <n v="8.93"/>
        <n v="21.43"/>
        <n v="12.5"/>
        <n v="3.57"/>
        <n v="5.36"/>
        <n v="7.14"/>
        <n v="1.79"/>
        <n v="10.95"/>
        <n v="9.49"/>
        <n v="10.220000000000001"/>
        <n v="8.0299999999999994"/>
        <n v="5.84"/>
        <n v="2.19"/>
        <n v="1.46"/>
        <n v="3.65"/>
        <n v="2.92"/>
        <n v="18.07"/>
        <n v="8.43"/>
        <n v="4.22"/>
        <n v="10.24"/>
        <n v="3.01"/>
        <n v="9.64"/>
        <n v="5.42"/>
        <n v="6.63"/>
        <n v="13.69"/>
        <n v="8.33"/>
        <n v="6.55"/>
        <n v="10.119999999999999"/>
        <n v="10.71"/>
        <n v="4.17"/>
        <n v="4.76"/>
        <n v="2.98"/>
        <n v="19.53"/>
        <n v="14.84"/>
        <n v="7.42"/>
        <n v="4.6900000000000004"/>
        <n v="8.59"/>
        <n v="7.03"/>
        <n v="5.47"/>
        <n v="3.13"/>
        <n v="2.34"/>
        <n v="3.91"/>
        <n v="4.3"/>
        <n v="20.63"/>
        <n v="12.38"/>
        <n v="2.86"/>
        <n v="1.9"/>
        <n v="5.4"/>
        <n v="7.3"/>
        <n v="8.57"/>
        <n v="4.4400000000000004"/>
        <n v="1.59"/>
        <n v="23.91"/>
        <n v="13.04"/>
        <n v="9.7799999999999994"/>
        <n v="7.61"/>
        <n v="6.52"/>
        <n v="8.6999999999999993"/>
        <n v="3.26"/>
        <n v="6.88"/>
        <n v="12.7"/>
        <n v="5.82"/>
        <n v="8.4700000000000006"/>
        <n v="6.35"/>
        <n v="4.2300000000000004"/>
        <n v="5.29"/>
        <n v="2.12"/>
        <n v="1.06"/>
        <n v="2.65"/>
        <n v="0.53"/>
        <n v="26.09"/>
        <n v="4.3499999999999996"/>
        <n v="16.52"/>
        <n v="15.65"/>
        <n v="6.96"/>
        <n v="3.48"/>
        <n v="2.61"/>
        <n v="21.98"/>
        <n v="5.49"/>
        <n v="10.99"/>
        <n v="7.69"/>
        <n v="4.4000000000000004"/>
        <n v="25.58"/>
        <n v="2.79"/>
        <n v="10.23"/>
        <n v="12.56"/>
        <n v="10.7"/>
        <n v="4.1900000000000004"/>
        <n v="1.86"/>
        <n v="3.72"/>
        <n v="1.4"/>
        <n v="14.57"/>
        <n v="8.5399999999999991"/>
        <n v="8.0399999999999991"/>
        <n v="5.53"/>
        <n v="10.050000000000001"/>
        <n v="1.51"/>
        <n v="0.5"/>
        <n v="2.27"/>
        <n v="5.68"/>
        <n v="19.32"/>
        <n v="7.95"/>
        <n v="13.64"/>
        <n v="6.82"/>
        <n v="1.1399999999999999"/>
        <n v="3.41"/>
        <n v="8.11"/>
        <n v="15.06"/>
        <n v="3.09"/>
        <n v="2.7"/>
        <n v="6.56"/>
        <n v="5.79"/>
        <n v="6.95"/>
        <n v="4.25"/>
        <n v="1.1599999999999999"/>
        <n v="1.54"/>
        <n v="0.77"/>
        <n v="19.48"/>
        <n v="10.39"/>
        <n v="12.34"/>
        <n v="7.79"/>
        <n v="1.3"/>
        <n v="2.6"/>
        <n v="23.31"/>
        <n v="13.98"/>
        <n v="15.25"/>
        <n v="6.36"/>
        <n v="4.66"/>
        <n v="1.69"/>
        <n v="2.54"/>
        <n v="11.73"/>
        <n v="13.97"/>
        <n v="7.26"/>
        <n v="8.94"/>
        <n v="1.68"/>
        <n v="0.56000000000000005"/>
        <n v="4.47"/>
        <n v="1.1200000000000001"/>
        <n v="24.57"/>
        <n v="9.7100000000000009"/>
        <n v="4"/>
        <n v="11.43"/>
        <n v="2.29"/>
        <n v="5.14"/>
        <n v="1.71"/>
        <n v="29.27"/>
        <n v="7.32"/>
        <n v="2.44"/>
        <n v="4.88"/>
        <n v="9.76"/>
        <n v="14.63"/>
        <n v="4.07"/>
        <n v="8.1300000000000008"/>
        <n v="12.2"/>
        <n v="3.25"/>
        <n v="6.5"/>
        <n v="0.81"/>
        <n v="24.86"/>
        <n v="19.77"/>
        <n v="5.08"/>
        <n v="21.62"/>
        <n v="12.16"/>
        <n v="16.22"/>
        <n v="6.76"/>
        <n v="21.28"/>
        <n v="14.89"/>
        <n v="12.77"/>
        <n v="10.64"/>
        <n v="4.26"/>
        <n v="6.38"/>
        <n v="2.13"/>
        <n v="15.71"/>
        <n v="5.71"/>
        <n v="1.43"/>
        <n v="15.79"/>
        <n v="10.53"/>
        <n v="5.26"/>
        <n v="13.51"/>
        <n v="10.81"/>
        <n v="25"/>
        <n v="16.670000000000002"/>
        <n v="22.91"/>
        <n v="9.69"/>
        <n v="16.739999999999998"/>
        <n v="7.93"/>
        <n v="4.41"/>
        <n v="0.44"/>
        <n v="3.08"/>
        <n v="1.32"/>
        <n v="13.22"/>
        <n v="19.829999999999998"/>
        <n v="12.4"/>
        <n v="11.57"/>
        <n v="6.61"/>
        <n v="1.65"/>
        <n v="2.48"/>
        <n v="0.83"/>
      </sharedItems>
    </cacheField>
    <cacheField name="総数（法人）" numFmtId="0" sqlType="4">
      <sharedItems containsSemiMixedTypes="0" containsString="0" containsNumber="1" containsInteger="1" minValue="0" maxValue="2109" count="132">
        <n v="575"/>
        <n v="618"/>
        <n v="1603"/>
        <n v="2109"/>
        <n v="1642"/>
        <n v="721"/>
        <n v="890"/>
        <n v="548"/>
        <n v="961"/>
        <n v="290"/>
        <n v="454"/>
        <n v="158"/>
        <n v="677"/>
        <n v="676"/>
        <n v="186"/>
        <n v="563"/>
        <n v="605"/>
        <n v="526"/>
        <n v="323"/>
        <n v="411"/>
        <n v="271"/>
        <n v="324"/>
        <n v="1196"/>
        <n v="603"/>
        <n v="853"/>
        <n v="312"/>
        <n v="257"/>
        <n v="485"/>
        <n v="430"/>
        <n v="168"/>
        <n v="360"/>
        <n v="78"/>
        <n v="379"/>
        <n v="222"/>
        <n v="395"/>
        <n v="315"/>
        <n v="236"/>
        <n v="197"/>
        <n v="207"/>
        <n v="79"/>
        <n v="227"/>
        <n v="553"/>
        <n v="102"/>
        <n v="243"/>
        <n v="142"/>
        <n v="220"/>
        <n v="97"/>
        <n v="70"/>
        <n v="184"/>
        <n v="32"/>
        <n v="123"/>
        <n v="95"/>
        <n v="90"/>
        <n v="47"/>
        <n v="80"/>
        <n v="49"/>
        <n v="71"/>
        <n v="69"/>
        <n v="284"/>
        <n v="276"/>
        <n v="31"/>
        <n v="147"/>
        <n v="77"/>
        <n v="98"/>
        <n v="63"/>
        <n v="125"/>
        <n v="35"/>
        <n v="20"/>
        <n v="44"/>
        <n v="101"/>
        <n v="92"/>
        <n v="66"/>
        <n v="19"/>
        <n v="26"/>
        <n v="50"/>
        <n v="23"/>
        <n v="83"/>
        <n v="42"/>
        <n v="76"/>
        <n v="22"/>
        <n v="40"/>
        <n v="25"/>
        <n v="38"/>
        <n v="6"/>
        <n v="30"/>
        <n v="28"/>
        <n v="11"/>
        <n v="24"/>
        <n v="16"/>
        <n v="159"/>
        <n v="132"/>
        <n v="82"/>
        <n v="46"/>
        <n v="37"/>
        <n v="9"/>
        <n v="21"/>
        <n v="36"/>
        <n v="41"/>
        <n v="53"/>
        <n v="84"/>
        <n v="13"/>
        <n v="33"/>
        <n v="45"/>
        <n v="133"/>
        <n v="75"/>
        <n v="139"/>
        <n v="62"/>
        <n v="43"/>
        <n v="55"/>
        <n v="68"/>
        <n v="18"/>
        <n v="10"/>
        <n v="27"/>
        <n v="5"/>
        <n v="8"/>
        <n v="15"/>
        <n v="14"/>
        <n v="7"/>
        <n v="17"/>
        <n v="4"/>
        <n v="3"/>
        <n v="2"/>
        <n v="58"/>
        <n v="74"/>
        <n v="12"/>
        <n v="0"/>
        <n v="1"/>
        <n v="52"/>
        <n v="29"/>
        <n v="34"/>
        <n v="91"/>
        <n v="48"/>
      </sharedItems>
    </cacheField>
    <cacheField name="構成比（法人）" numFmtId="0" sqlType="3">
      <sharedItems containsSemiMixedTypes="0" containsString="0" containsNumber="1" minValue="0" maxValue="27.27" count="420">
        <n v="2.94"/>
        <n v="3.15"/>
        <n v="8.18"/>
        <n v="10.77"/>
        <n v="8.3800000000000008"/>
        <n v="3.68"/>
        <n v="4.54"/>
        <n v="2.8"/>
        <n v="4.91"/>
        <n v="1.48"/>
        <n v="2.3199999999999998"/>
        <n v="0.81"/>
        <n v="3.46"/>
        <n v="3.45"/>
        <n v="0.95"/>
        <n v="2.87"/>
        <n v="3.09"/>
        <n v="2.69"/>
        <n v="1.65"/>
        <n v="2.1"/>
        <n v="3.43"/>
        <n v="12.65"/>
        <n v="6.38"/>
        <n v="9.02"/>
        <n v="3.3"/>
        <n v="2.72"/>
        <n v="5.13"/>
        <n v="4.55"/>
        <n v="1.78"/>
        <n v="3.81"/>
        <n v="0.82"/>
        <n v="4.01"/>
        <n v="2.35"/>
        <n v="4.18"/>
        <n v="3.33"/>
        <n v="2.5"/>
        <n v="2.08"/>
        <n v="2.19"/>
        <n v="0.84"/>
        <n v="6.44"/>
        <n v="15.68"/>
        <n v="2.89"/>
        <n v="6.89"/>
        <n v="4.03"/>
        <n v="6.24"/>
        <n v="2.75"/>
        <n v="5.28"/>
        <n v="1.99"/>
        <n v="5.22"/>
        <n v="4.4800000000000004"/>
        <n v="0.91"/>
        <n v="3.49"/>
        <n v="2.5499999999999998"/>
        <n v="1.33"/>
        <n v="2.21"/>
        <n v="2.27"/>
        <n v="1.39"/>
        <n v="2.0099999999999998"/>
        <n v="3"/>
        <n v="12.34"/>
        <n v="11.99"/>
        <n v="1.35"/>
        <n v="7.3"/>
        <n v="6.39"/>
        <n v="3.35"/>
        <n v="4.26"/>
        <n v="2.74"/>
        <n v="5.43"/>
        <n v="1.52"/>
        <n v="0.87"/>
        <n v="1.91"/>
        <n v="4.3899999999999997"/>
        <n v="4"/>
        <n v="0.83"/>
        <n v="1.1299999999999999"/>
        <n v="2.17"/>
        <n v="2.63"/>
        <n v="9.49"/>
        <n v="9.14"/>
        <n v="4.8"/>
        <n v="8.69"/>
        <n v="2.5099999999999998"/>
        <n v="5.37"/>
        <n v="4.57"/>
        <n v="2.86"/>
        <n v="2.29"/>
        <n v="4.34"/>
        <n v="0.69"/>
        <n v="3.2"/>
        <n v="1.26"/>
        <n v="2.97"/>
        <n v="1.83"/>
        <n v="11.12"/>
        <n v="9.23"/>
        <n v="6.64"/>
        <n v="5.73"/>
        <n v="7.13"/>
        <n v="1.68"/>
        <n v="3.22"/>
        <n v="2.59"/>
        <n v="0.63"/>
        <n v="1.47"/>
        <n v="2.52"/>
        <n v="3.71"/>
        <n v="2.2400000000000002"/>
        <n v="2.79"/>
        <n v="11.1"/>
        <n v="11.93"/>
        <n v="6.34"/>
        <n v="1.51"/>
        <n v="6.8"/>
        <n v="6.27"/>
        <n v="1.66"/>
        <n v="3.47"/>
        <n v="2.34"/>
        <n v="3.17"/>
        <n v="0.98"/>
        <n v="1.96"/>
        <n v="2.4900000000000002"/>
        <n v="1.74"/>
        <n v="2.42"/>
        <n v="9.51"/>
        <n v="5.36"/>
        <n v="9.94"/>
        <n v="4.43"/>
        <n v="3.07"/>
        <n v="1.36"/>
        <n v="3.93"/>
        <n v="4.8600000000000003"/>
        <n v="2.14"/>
        <n v="1.29"/>
        <n v="3.5"/>
        <n v="4.93"/>
        <n v="0.71"/>
        <n v="2.93"/>
        <n v="2.57"/>
        <n v="1.1399999999999999"/>
        <n v="4.96"/>
        <n v="9.69"/>
        <n v="7.09"/>
        <n v="1.18"/>
        <n v="5.67"/>
        <n v="1.89"/>
        <n v="3.55"/>
        <n v="3.31"/>
        <n v="4.9400000000000004"/>
        <n v="9.3800000000000008"/>
        <n v="12.1"/>
        <n v="4.2"/>
        <n v="3.7"/>
        <n v="0.99"/>
        <n v="1.98"/>
        <n v="6.17"/>
        <n v="4.4400000000000004"/>
        <n v="0.74"/>
        <n v="2.4700000000000002"/>
        <n v="1.73"/>
        <n v="2.2599999999999998"/>
        <n v="7.52"/>
        <n v="9.77"/>
        <n v="3.76"/>
        <n v="8.65"/>
        <n v="3.01"/>
        <n v="5.26"/>
        <n v="0.75"/>
        <n v="1.88"/>
        <n v="3.37"/>
        <n v="10.3"/>
        <n v="2.66"/>
        <n v="13.32"/>
        <n v="4.97"/>
        <n v="4.62"/>
        <n v="2.84"/>
        <n v="1.07"/>
        <n v="3.73"/>
        <n v="0.53"/>
        <n v="2.31"/>
        <n v="1.95"/>
        <n v="1.42"/>
        <n v="9.6999999999999993"/>
        <n v="17.09"/>
        <n v="4.8499999999999996"/>
        <n v="1.1499999999999999"/>
        <n v="2.77"/>
        <n v="0.46"/>
        <n v="5.08"/>
        <n v="3.23"/>
        <n v="0.92"/>
        <n v="2.54"/>
        <n v="3.54"/>
        <n v="3.13"/>
        <n v="15.63"/>
        <n v="4.58"/>
        <n v="8.75"/>
        <n v="5.63"/>
        <n v="4.38"/>
        <n v="1.04"/>
        <n v="6.67"/>
        <n v="4.17"/>
        <n v="2.92"/>
        <n v="0.42"/>
        <n v="1.67"/>
        <n v="2.95"/>
        <n v="13.14"/>
        <n v="4.83"/>
        <n v="8.58"/>
        <n v="5.9"/>
        <n v="4.0199999999999996"/>
        <n v="1.61"/>
        <n v="3.75"/>
        <n v="2.68"/>
        <n v="0.54"/>
        <n v="6.91"/>
        <n v="2.91"/>
        <n v="16"/>
        <n v="4.3600000000000003"/>
        <n v="12.73"/>
        <n v="1.45"/>
        <n v="3.64"/>
        <n v="5.09"/>
        <n v="0"/>
        <n v="1.0900000000000001"/>
        <n v="4.7300000000000004"/>
        <n v="1.82"/>
        <n v="0.73"/>
        <n v="0.36"/>
        <n v="3.9"/>
        <n v="9.67"/>
        <n v="10.78"/>
        <n v="5.2"/>
        <n v="1.3"/>
        <n v="5.39"/>
        <n v="1.1200000000000001"/>
        <n v="3.53"/>
        <n v="1.49"/>
        <n v="2.04"/>
        <n v="2.23"/>
        <n v="5.81"/>
        <n v="2.9"/>
        <n v="10.97"/>
        <n v="14.84"/>
        <n v="4.5199999999999996"/>
        <n v="3.87"/>
        <n v="1.94"/>
        <n v="0.97"/>
        <n v="5.64"/>
        <n v="11.66"/>
        <n v="11.17"/>
        <n v="5.03"/>
        <n v="2.4500000000000002"/>
        <n v="0.61"/>
        <n v="2.7"/>
        <n v="3.19"/>
        <n v="0.12"/>
        <n v="1.1000000000000001"/>
        <n v="1.23"/>
        <n v="5.52"/>
        <n v="3.44"/>
        <n v="2.56"/>
        <n v="10.26"/>
        <n v="1.28"/>
        <n v="7.05"/>
        <n v="2.78"/>
        <n v="9.19"/>
        <n v="4.2699999999999996"/>
        <n v="7.69"/>
        <n v="0.85"/>
        <n v="6.62"/>
        <n v="4.0599999999999996"/>
        <n v="2.99"/>
        <n v="1.92"/>
        <n v="0.43"/>
        <n v="1.71"/>
        <n v="23.68"/>
        <n v="14.47"/>
        <n v="3.95"/>
        <n v="1.32"/>
        <n v="19.05"/>
        <n v="14.29"/>
        <n v="7.14"/>
        <n v="9.52"/>
        <n v="2.38"/>
        <n v="4.76"/>
        <n v="11.83"/>
        <n v="15.05"/>
        <n v="5.38"/>
        <n v="1.08"/>
        <n v="4.3"/>
        <n v="6.45"/>
        <n v="2.15"/>
        <n v="6.72"/>
        <n v="11.76"/>
        <n v="3.36"/>
        <n v="10.08"/>
        <n v="7.56"/>
        <n v="5.04"/>
        <n v="3.8"/>
        <n v="12.66"/>
        <n v="13.92"/>
        <n v="2.5299999999999998"/>
        <n v="5.0599999999999996"/>
        <n v="1.27"/>
        <n v="6.33"/>
        <n v="2.96"/>
        <n v="5.62"/>
        <n v="6.21"/>
        <n v="10.95"/>
        <n v="6.51"/>
        <n v="2.0699999999999998"/>
        <n v="0.3"/>
        <n v="2.37"/>
        <n v="6.42"/>
        <n v="8.19"/>
        <n v="3.32"/>
        <n v="8.41"/>
        <n v="7.08"/>
        <n v="7.96"/>
        <n v="6.19"/>
        <n v="1.1100000000000001"/>
        <n v="2.4300000000000002"/>
        <n v="2.65"/>
        <n v="0.88"/>
        <n v="1.55"/>
        <n v="11.11"/>
        <n v="12.7"/>
        <n v="1.59"/>
        <n v="5.56"/>
        <n v="12.04"/>
        <n v="0.93"/>
        <n v="12.96"/>
        <n v="7.41"/>
        <n v="1.85"/>
        <n v="4.63"/>
        <n v="20"/>
        <n v="10"/>
        <n v="15"/>
        <n v="5"/>
        <n v="22.22"/>
        <n v="13.89"/>
        <n v="8.89"/>
        <n v="7.78"/>
        <n v="2.2200000000000002"/>
        <n v="5.45"/>
        <n v="24.55"/>
        <n v="7.27"/>
        <n v="2.73"/>
        <n v="18.23"/>
        <n v="6.77"/>
        <n v="6.25"/>
        <n v="0.52"/>
        <n v="7.29"/>
        <n v="3.65"/>
        <n v="2.6"/>
        <n v="15.43"/>
        <n v="12.77"/>
        <n v="8.51"/>
        <n v="5.32"/>
        <n v="2.13"/>
        <n v="3.72"/>
        <n v="1.6"/>
        <n v="17.63"/>
        <n v="9.7100000000000009"/>
        <n v="1.44"/>
        <n v="7.19"/>
        <n v="6.12"/>
        <n v="5.4"/>
        <n v="1.8"/>
        <n v="2.16"/>
        <n v="0.72"/>
        <n v="4.68"/>
        <n v="3.24"/>
        <n v="16.91"/>
        <n v="10.29"/>
        <n v="5.15"/>
        <n v="7.35"/>
        <n v="4.41"/>
        <n v="6.58"/>
        <n v="13.82"/>
        <n v="11.84"/>
        <n v="4.6100000000000003"/>
        <n v="7.89"/>
        <n v="0.66"/>
        <n v="3.29"/>
        <n v="1.97"/>
        <n v="14.56"/>
        <n v="7.77"/>
        <n v="3.88"/>
        <n v="8.74"/>
        <n v="5.83"/>
        <n v="13.19"/>
        <n v="9.7200000000000006"/>
        <n v="8.33"/>
        <n v="12.12"/>
        <n v="9.09"/>
        <n v="15.15"/>
        <n v="6.06"/>
        <n v="3.03"/>
        <n v="5.88"/>
        <n v="13.73"/>
        <n v="6.86"/>
        <n v="8.82"/>
        <n v="3.92"/>
        <n v="15.38"/>
        <n v="6.41"/>
        <n v="3.85"/>
        <n v="15.79"/>
        <n v="10.53"/>
        <n v="27.27"/>
        <n v="18.18"/>
        <n v="6.82"/>
        <n v="7.58"/>
        <n v="3.79"/>
        <n v="0.76"/>
        <n v="5.3"/>
        <n v="14.08"/>
        <n v="2.82"/>
        <n v="8.4499999999999993"/>
        <n v="15.49"/>
        <n v="4.2300000000000004"/>
        <n v="1.41"/>
      </sharedItems>
    </cacheField>
    <cacheField name="総数（法人以外の団体）" numFmtId="0" sqlType="4">
      <sharedItems containsSemiMixedTypes="0" containsString="0" containsNumber="1" containsInteger="1" minValue="0" maxValue="52" count="13">
        <n v="1"/>
        <n v="2"/>
        <n v="14"/>
        <n v="0"/>
        <n v="5"/>
        <n v="17"/>
        <n v="7"/>
        <n v="6"/>
        <n v="4"/>
        <n v="10"/>
        <n v="13"/>
        <n v="3"/>
        <n v="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8722337966" createdVersion="5" refreshedVersion="8" minRefreshableVersion="3" recordCount="1263" xr:uid="{5391AA99-F9FF-4BC3-9A4A-CA7B9C265915}">
  <cacheSource type="external" connectionId="3"/>
  <cacheFields count="14">
    <cacheField name="都道府県" numFmtId="0" sqlType="-9">
      <sharedItems count="1">
        <s v="43 熊本県"/>
      </sharedItems>
    </cacheField>
    <cacheField name="自治体名" numFmtId="0" sqlType="-9">
      <sharedItems count="51">
        <s v="熊本県"/>
        <s v="熊本市"/>
        <s v="熊本市中央区"/>
        <s v="熊本市東区"/>
        <s v="熊本市西区"/>
        <s v="熊本市南区"/>
        <s v="熊本市北区"/>
        <s v="八代市"/>
        <s v="人吉市"/>
        <s v="荒尾市"/>
        <s v="水俣市"/>
        <s v="玉名市"/>
        <s v="山鹿市"/>
        <s v="菊池市"/>
        <s v="宇土市"/>
        <s v="上天草市"/>
        <s v="宇城市"/>
        <s v="阿蘇市"/>
        <s v="天草市"/>
        <s v="合志市"/>
        <s v="下益城郡美里町"/>
        <s v="玉名郡玉東町"/>
        <s v="玉名郡南関町"/>
        <s v="玉名郡長洲町"/>
        <s v="玉名郡和水町"/>
        <s v="菊池郡大津町"/>
        <s v="菊池郡菊陽町"/>
        <s v="阿蘇郡南小国町"/>
        <s v="阿蘇郡小国町"/>
        <s v="阿蘇郡産山村"/>
        <s v="阿蘇郡高森町"/>
        <s v="阿蘇郡西原村"/>
        <s v="阿蘇郡南阿蘇村"/>
        <s v="上益城郡御船町"/>
        <s v="上益城郡嘉島町"/>
        <s v="上益城郡益城町"/>
        <s v="上益城郡甲佐町"/>
        <s v="上益城郡山都町"/>
        <s v="八代郡氷川町"/>
        <s v="葦北郡芦北町"/>
        <s v="葦北郡津奈木町"/>
        <s v="球磨郡錦町"/>
        <s v="球磨郡多良木町"/>
        <s v="球磨郡湯前町"/>
        <s v="球磨郡水上村"/>
        <s v="球磨郡相良村"/>
        <s v="球磨郡五木村"/>
        <s v="球磨郡山江村"/>
        <s v="球磨郡球磨村"/>
        <s v="球磨郡あさぎり町"/>
        <s v="天草郡苓北町"/>
      </sharedItems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産業分類コード" numFmtId="0" sqlType="-8">
      <sharedItems count="143">
        <s v="783"/>
        <s v="692"/>
        <s v="782"/>
        <s v="062"/>
        <s v="766"/>
        <s v="762"/>
        <s v="591"/>
        <s v="589"/>
        <s v="835"/>
        <s v="765"/>
        <s v="609"/>
        <s v="824"/>
        <s v="891"/>
        <s v="065"/>
        <s v="081"/>
        <s v="742"/>
        <s v="603"/>
        <s v="064"/>
        <s v="691"/>
        <s v="573"/>
        <s v="682"/>
        <s v="694"/>
        <s v="693"/>
        <s v="724"/>
        <s v="767"/>
        <s v="781"/>
        <s v="789"/>
        <s v="083"/>
        <s v="079"/>
        <s v="521"/>
        <s v="522"/>
        <s v="586"/>
        <s v="593"/>
        <s v="605"/>
        <s v="761"/>
        <s v="674"/>
        <s v="799"/>
        <s v="823"/>
        <s v="585"/>
        <s v="582"/>
        <s v="077"/>
        <s v="855"/>
        <s v="313"/>
        <s v="584"/>
        <s v="452"/>
        <s v="854"/>
        <s v="751"/>
        <s v="951"/>
        <s v="611"/>
        <s v="071"/>
        <s v="103"/>
        <s v="121"/>
        <s v="772"/>
        <s v="607"/>
        <s v="833"/>
        <s v="929"/>
        <s v="063"/>
        <s v="073"/>
        <s v="076"/>
        <s v="094"/>
        <s v="097"/>
        <s v="161"/>
        <s v="219"/>
        <s v="244"/>
        <s v="331"/>
        <s v="361"/>
        <s v="391"/>
        <s v="441"/>
        <s v="559"/>
        <s v="581"/>
        <s v="601"/>
        <s v="602"/>
        <s v="604"/>
        <s v="704"/>
        <s v="722"/>
        <s v="723"/>
        <s v="763"/>
        <s v="882"/>
        <s v="099"/>
        <s v="531"/>
        <s v="214"/>
        <s v="853"/>
        <s v="541"/>
        <s v="583"/>
        <s v="579"/>
        <s v="759"/>
        <s v="075"/>
        <s v="606"/>
        <s v="091"/>
        <s v="741"/>
        <s v="101"/>
        <s v="411"/>
        <s v="536"/>
        <s v="859"/>
        <s v="131"/>
        <s v="752"/>
        <s v="769"/>
        <s v="078"/>
        <s v="574"/>
        <s v="608"/>
        <s v="072"/>
        <s v="922"/>
        <s v="092"/>
        <s v="328"/>
        <s v="392"/>
        <s v="901"/>
        <s v="212"/>
        <s v="210"/>
        <s v="082"/>
        <s v="089"/>
        <s v="174"/>
        <s v="326"/>
        <s v="412"/>
        <s v="472"/>
        <s v="681"/>
        <s v="702"/>
        <s v="729"/>
        <s v="821"/>
        <s v="881"/>
        <s v="329"/>
        <s v="796"/>
        <s v="102"/>
        <s v="133"/>
        <s v="151"/>
        <s v="066"/>
        <s v="093"/>
        <s v="804"/>
        <s v="129"/>
        <s v="705"/>
        <s v="711"/>
        <s v="795"/>
        <s v="106"/>
        <s v="242"/>
        <s v="911"/>
        <s v="061"/>
        <s v="118"/>
        <s v="432"/>
        <s v="483"/>
        <s v="571"/>
        <s v="218"/>
        <s v="123"/>
        <s v="533"/>
        <s v="809"/>
      </sharedItems>
    </cacheField>
    <cacheField name="産業分類" numFmtId="0" sqlType="-9">
      <sharedItems count="143">
        <s v="美容業"/>
        <s v="貸家業，貸間業"/>
        <s v="理容業"/>
        <s v="土木工事業（舗装工事業を除く）"/>
        <s v="バー，キャバレー，ナイトクラブ"/>
        <s v="専門料理店"/>
        <s v="自動車小売業"/>
        <s v="その他の飲食料品小売業"/>
        <s v="療術業"/>
        <s v="酒場，ビヤホール"/>
        <s v="他に分類されない小売業"/>
        <s v="教養・技能教授業"/>
        <s v="自動車整備業"/>
        <s v="木造建築工事業"/>
        <s v="電気工事業"/>
        <s v="土木建築サービス業"/>
        <s v="医薬品・化粧品小売業"/>
        <s v="建築工事業（木造建築工事業を除く）"/>
        <s v="不動産賃貸業（貸家業，貸間業を除く）"/>
        <s v="婦人・子供服小売業"/>
        <s v="不動産代理業・仲介業"/>
        <s v="不動産管理業"/>
        <s v="駐車場業"/>
        <s v="公認会計士事務所，税理士事務所"/>
        <s v="喫茶店"/>
        <s v="洗濯業"/>
        <s v="その他の洗濯・理容・美容・浴場業"/>
        <s v="管工事業（さく井工事業を除く）"/>
        <s v="その他の職別工事業"/>
        <s v="農畜産物・水産物卸売業"/>
        <s v="食料・飲料卸売業"/>
        <s v="菓子・パン小売業"/>
        <s v="機械器具小売業（自動車，自転車を除く）"/>
        <s v="燃料小売業"/>
        <s v="食堂，レストラン（専門料理店を除く）"/>
        <s v="保険媒介代理業"/>
        <s v="他に分類されない生活関連サービス業"/>
        <s v="学習塾"/>
        <s v="酒小売業"/>
        <s v="野菜・果実小売業"/>
        <s v="塗装工事業"/>
        <s v="障害者福祉事業"/>
        <s v="船舶製造・修理業，舶用機関製造業"/>
        <s v="鮮魚小売業"/>
        <s v="沿海海運業"/>
        <s v="老人福祉・介護事業"/>
        <s v="旅館，ホテル"/>
        <s v="集会場"/>
        <s v="通信販売・訪問販売小売業"/>
        <s v="大工工事業"/>
        <s v="茶・コーヒー製造業（清涼飲料を除く）"/>
        <s v="製材業，木製品製造業"/>
        <s v="配達飲食サービス業"/>
        <s v="スポーツ用品・がん具・娯楽用品・楽器小売業"/>
        <s v="歯科診療所"/>
        <s v="他に分類されない事業サービス業"/>
        <s v="舗装工事業"/>
        <s v="鉄骨・鉄筋工事業"/>
        <s v="板金・金物工事業"/>
        <s v="調味料製造業"/>
        <s v="パン・菓子製造業"/>
        <s v="化学肥料製造業"/>
        <s v="その他の窯業・土石製品製造業"/>
        <s v="建設用・建築用金属製品製造業（製缶板金業を含む）"/>
        <s v="電気業"/>
        <s v="上水道業"/>
        <s v="ソフトウェア業"/>
        <s v="一般貨物自動車運送業"/>
        <s v="他に分類されない卸売業"/>
        <s v="各種食料品小売業"/>
        <s v="家具・建具・畳小売業"/>
        <s v="じゅう器小売業"/>
        <s v="農耕用品小売業"/>
        <s v="自動車賃貸業"/>
        <s v="公証人役場，司法書士事務所，土地家屋調査士事務所"/>
        <s v="行政書士事務所"/>
        <s v="そば・うどん店"/>
        <s v="産業廃棄物処理業"/>
        <s v="その他の食料品製造業"/>
        <s v="建築材料卸売業"/>
        <s v="陶磁器・同関連製品製造業"/>
        <s v="児童福祉事業"/>
        <s v="産業機械器具卸売業"/>
        <s v="食肉小売業"/>
        <s v="その他の織物・衣服・身の回り品小売業"/>
        <s v="その他の宿泊業"/>
        <s v="左官工事業"/>
        <s v="書籍・文房具小売業"/>
        <s v="畜産食料品製造業"/>
        <s v="獣医業"/>
        <s v="清涼飲料製造業"/>
        <s v="映像情報制作・配給業"/>
        <s v="再生資源卸売業"/>
        <s v="その他の社会保険・社会福祉・介護事業"/>
        <s v="家具製造業"/>
        <s v="簡易宿所"/>
        <s v="その他の飲食店"/>
        <s v="床・内装工事業"/>
        <s v="靴・履物小売業"/>
        <s v="写真機・時計・眼鏡小売業"/>
        <s v="とび・土工・コンクリート工事業"/>
        <s v="建物サービス業"/>
        <s v="水産食料品製造業"/>
        <s v="畳等生活雑貨製品製造業"/>
        <s v="情報処理・提供サービス業"/>
        <s v="機械修理業（電気機械器具を除く）"/>
        <s v="セメント・同製品製造業"/>
        <s v="管理，補助的経済活動を行う事業所"/>
        <s v="電気通信・信号装置工事業"/>
        <s v="その他の設備工事業"/>
        <s v="舗装材料製造業"/>
        <s v="ペン・鉛筆・絵画用品・その他の事務用品製造業"/>
        <s v="音声情報制作業"/>
        <s v="冷蔵倉庫業"/>
        <s v="建物売買業，土地売買業"/>
        <s v="産業用機械器具賃貸業"/>
        <s v="その他の専門サービス業"/>
        <s v="社会教育"/>
        <s v="一般廃棄物処理業"/>
        <s v="他に分類されない製造業"/>
        <s v="冠婚葬祭業"/>
        <s v="酒類製造業"/>
        <s v="建具製造業"/>
        <s v="印刷業"/>
        <s v="建築リフォーム工事業"/>
        <s v="野菜缶詰・果実缶詰・農産保存食料品製造業"/>
        <s v="スポーツ施設提供業"/>
        <s v="その他の木製品製造業（竹，とうを含む）"/>
        <s v="スポーツ・娯楽用品賃貸業"/>
        <s v="自然科学研究所"/>
        <s v="火葬・墓地管理業"/>
        <s v="飼料・有機質肥料製造業"/>
        <s v="洋食器・刃物・手道具・金物類製造業"/>
        <s v="職業紹介業"/>
        <s v="一般土木建築工事業"/>
        <s v="和装製品・その他の衣服・繊維製身の回り品製造業"/>
        <s v="一般乗用旅客自動車運送業"/>
        <s v="運送代理店"/>
        <s v="呉服・服地・寝具小売業"/>
        <s v="骨材・石工品等製造業"/>
        <s v="木製容器製造業（竹，とうを含む）"/>
        <s v="石油・鉱物卸売業"/>
        <s v="その他の娯楽業"/>
      </sharedItems>
    </cacheField>
    <cacheField name="産業小分類" numFmtId="0" sqlType="-9">
      <sharedItems count="143">
        <s v="783 美容業"/>
        <s v="692 貸家業，貸間業"/>
        <s v="782 理容業"/>
        <s v="062 土木工事業（舗装工事業を除く）"/>
        <s v="766 バー，キャバレー，ナイトクラブ"/>
        <s v="762 専門料理店"/>
        <s v="591 自動車小売業"/>
        <s v="589 その他の飲食料品小売業"/>
        <s v="835 療術業"/>
        <s v="765 酒場，ビヤホール"/>
        <s v="609 他に分類されない小売業"/>
        <s v="824 教養・技能教授業"/>
        <s v="891 自動車整備業"/>
        <s v="065 木造建築工事業"/>
        <s v="081 電気工事業"/>
        <s v="742 土木建築サービス業"/>
        <s v="603 医薬品・化粧品小売業"/>
        <s v="064 建築工事業（木造建築工事業を除く）"/>
        <s v="691 不動産賃貸業（貸家業，貸間業を除く）"/>
        <s v="573 婦人・子供服小売業"/>
        <s v="682 不動産代理業・仲介業"/>
        <s v="694 不動産管理業"/>
        <s v="693 駐車場業"/>
        <s v="724 公認会計士事務所，税理士事務所"/>
        <s v="767 喫茶店"/>
        <s v="781 洗濯業"/>
        <s v="789 その他の洗濯・理容・美容・浴場業"/>
        <s v="083 管工事業（さく井工事業を除く）"/>
        <s v="079 その他の職別工事業"/>
        <s v="521 農畜産物・水産物卸売業"/>
        <s v="522 食料・飲料卸売業"/>
        <s v="586 菓子・パン小売業"/>
        <s v="593 機械器具小売業（自動車，自転車を除く）"/>
        <s v="605 燃料小売業"/>
        <s v="761 食堂，レストラン（専門料理店を除く）"/>
        <s v="674 保険媒介代理業"/>
        <s v="799 他に分類されない生活関連サービス業"/>
        <s v="823 学習塾"/>
        <s v="585 酒小売業"/>
        <s v="582 野菜・果実小売業"/>
        <s v="077 塗装工事業"/>
        <s v="855 障害者福祉事業"/>
        <s v="313 船舶製造・修理業，舶用機関製造業"/>
        <s v="584 鮮魚小売業"/>
        <s v="452 沿海海運業"/>
        <s v="854 老人福祉・介護事業"/>
        <s v="751 旅館，ホテル"/>
        <s v="951 集会場"/>
        <s v="611 通信販売・訪問販売小売業"/>
        <s v="071 大工工事業"/>
        <s v="103 茶・コーヒー製造業（清涼飲料を除く）"/>
        <s v="121 製材業，木製品製造業"/>
        <s v="772 配達飲食サービス業"/>
        <s v="607 スポーツ用品・がん具・娯楽用品・楽器小売業"/>
        <s v="833 歯科診療所"/>
        <s v="929 他に分類されない事業サービス業"/>
        <s v="063 舗装工事業"/>
        <s v="073 鉄骨・鉄筋工事業"/>
        <s v="076 板金・金物工事業"/>
        <s v="094 調味料製造業"/>
        <s v="097 パン・菓子製造業"/>
        <s v="161 化学肥料製造業"/>
        <s v="219 その他の窯業・土石製品製造業"/>
        <s v="244 建設用・建築用金属製品製造業（製缶板金業を含む）"/>
        <s v="331 電気業"/>
        <s v="361 上水道業"/>
        <s v="391 ソフトウェア業"/>
        <s v="441 一般貨物自動車運送業"/>
        <s v="559 他に分類されない卸売業"/>
        <s v="581 各種食料品小売業"/>
        <s v="601 家具・建具・畳小売業"/>
        <s v="602 じゅう器小売業"/>
        <s v="604 農耕用品小売業"/>
        <s v="704 自動車賃貸業"/>
        <s v="722 公証人役場，司法書士事務所，土地家屋調査士事務所"/>
        <s v="723 行政書士事務所"/>
        <s v="763 そば・うどん店"/>
        <s v="882 産業廃棄物処理業"/>
        <s v="099 その他の食料品製造業"/>
        <s v="531 建築材料卸売業"/>
        <s v="214 陶磁器・同関連製品製造業"/>
        <s v="853 児童福祉事業"/>
        <s v="541 産業機械器具卸売業"/>
        <s v="583 食肉小売業"/>
        <s v="579 その他の織物・衣服・身の回り品小売業"/>
        <s v="759 その他の宿泊業"/>
        <s v="075 左官工事業"/>
        <s v="606 書籍・文房具小売業"/>
        <s v="091 畜産食料品製造業"/>
        <s v="741 獣医業"/>
        <s v="101 清涼飲料製造業"/>
        <s v="411 映像情報制作・配給業"/>
        <s v="536 再生資源卸売業"/>
        <s v="859 その他の社会保険・社会福祉・介護事業"/>
        <s v="131 家具製造業"/>
        <s v="752 簡易宿所"/>
        <s v="769 その他の飲食店"/>
        <s v="078 床・内装工事業"/>
        <s v="574 靴・履物小売業"/>
        <s v="608 写真機・時計・眼鏡小売業"/>
        <s v="072 とび・土工・コンクリート工事業"/>
        <s v="922 建物サービス業"/>
        <s v="092 水産食料品製造業"/>
        <s v="328 畳等生活雑貨製品製造業"/>
        <s v="392 情報処理・提供サービス業"/>
        <s v="901 機械修理業（電気機械器具を除く）"/>
        <s v="212 セメント・同製品製造業"/>
        <s v="210 管理，補助的経済活動を行う事業所"/>
        <s v="082 電気通信・信号装置工事業"/>
        <s v="089 その他の設備工事業"/>
        <s v="174 舗装材料製造業"/>
        <s v="326 ペン・鉛筆・絵画用品・その他の事務用品製造業"/>
        <s v="412 音声情報制作業"/>
        <s v="472 冷蔵倉庫業"/>
        <s v="681 建物売買業，土地売買業"/>
        <s v="702 産業用機械器具賃貸業"/>
        <s v="729 その他の専門サービス業"/>
        <s v="821 社会教育"/>
        <s v="881 一般廃棄物処理業"/>
        <s v="329 他に分類されない製造業"/>
        <s v="796 冠婚葬祭業"/>
        <s v="102 酒類製造業"/>
        <s v="133 建具製造業"/>
        <s v="151 印刷業"/>
        <s v="066 建築リフォーム工事業"/>
        <s v="093 野菜缶詰・果実缶詰・農産保存食料品製造業"/>
        <s v="804 スポーツ施設提供業"/>
        <s v="129 その他の木製品製造業（竹，とうを含む）"/>
        <s v="705 スポーツ・娯楽用品賃貸業"/>
        <s v="711 自然科学研究所"/>
        <s v="795 火葬・墓地管理業"/>
        <s v="106 飼料・有機質肥料製造業"/>
        <s v="242 洋食器・刃物・手道具・金物類製造業"/>
        <s v="911 職業紹介業"/>
        <s v="061 一般土木建築工事業"/>
        <s v="118 和装製品・その他の衣服・繊維製身の回り品製造業"/>
        <s v="432 一般乗用旅客自動車運送業"/>
        <s v="483 運送代理店"/>
        <s v="571 呉服・服地・寝具小売業"/>
        <s v="218 骨材・石工品等製造業"/>
        <s v="123 木製容器製造業（竹，とうを含む）"/>
        <s v="533 石油・鉱物卸売業"/>
        <s v="809 その他の娯楽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0"/>
        <n v="15"/>
      </sharedItems>
    </cacheField>
    <cacheField name="総数" numFmtId="0" sqlType="4">
      <sharedItems containsSemiMixedTypes="0" containsString="0" containsNumber="1" containsInteger="1" minValue="1" maxValue="2262" count="154">
        <n v="2262"/>
        <n v="1582"/>
        <n v="1344"/>
        <n v="1105"/>
        <n v="1068"/>
        <n v="1056"/>
        <n v="963"/>
        <n v="950"/>
        <n v="911"/>
        <n v="902"/>
        <n v="818"/>
        <n v="816"/>
        <n v="772"/>
        <n v="675"/>
        <n v="673"/>
        <n v="641"/>
        <n v="638"/>
        <n v="560"/>
        <n v="559"/>
        <n v="864"/>
        <n v="822"/>
        <n v="478"/>
        <n v="458"/>
        <n v="443"/>
        <n v="387"/>
        <n v="384"/>
        <n v="359"/>
        <n v="353"/>
        <n v="351"/>
        <n v="332"/>
        <n v="326"/>
        <n v="317"/>
        <n v="276"/>
        <n v="275"/>
        <n v="272"/>
        <n v="252"/>
        <n v="249"/>
        <n v="219"/>
        <n v="413"/>
        <n v="358"/>
        <n v="306"/>
        <n v="271"/>
        <n v="227"/>
        <n v="182"/>
        <n v="162"/>
        <n v="160"/>
        <n v="141"/>
        <n v="138"/>
        <n v="121"/>
        <n v="120"/>
        <n v="119"/>
        <n v="103"/>
        <n v="101"/>
        <n v="76"/>
        <n v="73"/>
        <n v="72"/>
        <n v="194"/>
        <n v="184"/>
        <n v="118"/>
        <n v="111"/>
        <n v="109"/>
        <n v="99"/>
        <n v="95"/>
        <n v="92"/>
        <n v="90"/>
        <n v="89"/>
        <n v="80"/>
        <n v="75"/>
        <n v="71"/>
        <n v="62"/>
        <n v="61"/>
        <n v="59"/>
        <n v="58"/>
        <n v="56"/>
        <n v="55"/>
        <n v="70"/>
        <n v="46"/>
        <n v="43"/>
        <n v="37"/>
        <n v="34"/>
        <n v="31"/>
        <n v="29"/>
        <n v="27"/>
        <n v="26"/>
        <n v="22"/>
        <n v="21"/>
        <n v="20"/>
        <n v="19"/>
        <n v="131"/>
        <n v="68"/>
        <n v="67"/>
        <n v="65"/>
        <n v="53"/>
        <n v="45"/>
        <n v="44"/>
        <n v="42"/>
        <n v="40"/>
        <n v="33"/>
        <n v="84"/>
        <n v="69"/>
        <n v="66"/>
        <n v="57"/>
        <n v="51"/>
        <n v="49"/>
        <n v="38"/>
        <n v="35"/>
        <n v="185"/>
        <n v="153"/>
        <n v="126"/>
        <n v="104"/>
        <n v="91"/>
        <n v="86"/>
        <n v="83"/>
        <n v="74"/>
        <n v="64"/>
        <n v="63"/>
        <n v="54"/>
        <n v="81"/>
        <n v="24"/>
        <n v="23"/>
        <n v="17"/>
        <n v="16"/>
        <n v="14"/>
        <n v="28"/>
        <n v="13"/>
        <n v="12"/>
        <n v="39"/>
        <n v="25"/>
        <n v="11"/>
        <n v="10"/>
        <n v="9"/>
        <n v="88"/>
        <n v="30"/>
        <n v="50"/>
        <n v="41"/>
        <n v="48"/>
        <n v="32"/>
        <n v="15"/>
        <n v="18"/>
        <n v="47"/>
        <n v="36"/>
        <n v="168"/>
        <n v="98"/>
        <n v="79"/>
        <n v="60"/>
        <n v="52"/>
        <n v="7"/>
        <n v="6"/>
        <n v="5"/>
        <n v="4"/>
        <n v="3"/>
        <n v="2"/>
        <n v="1"/>
        <n v="8"/>
      </sharedItems>
    </cacheField>
    <cacheField name="構成比" numFmtId="0" sqlType="3">
      <sharedItems containsSemiMixedTypes="0" containsString="0" containsNumber="1" minValue="1" maxValue="17.739999999999998" count="311">
        <n v="5.47"/>
        <n v="3.82"/>
        <n v="3.25"/>
        <n v="2.67"/>
        <n v="2.58"/>
        <n v="2.5499999999999998"/>
        <n v="2.33"/>
        <n v="2.2999999999999998"/>
        <n v="2.2000000000000002"/>
        <n v="2.1800000000000002"/>
        <n v="1.98"/>
        <n v="1.97"/>
        <n v="1.87"/>
        <n v="1.63"/>
        <n v="1.55"/>
        <n v="1.54"/>
        <n v="1.35"/>
        <n v="5.21"/>
        <n v="4.95"/>
        <n v="2.88"/>
        <n v="2.76"/>
        <n v="2.31"/>
        <n v="2.16"/>
        <n v="2.13"/>
        <n v="2.12"/>
        <n v="2"/>
        <n v="1.96"/>
        <n v="1.91"/>
        <n v="1.66"/>
        <n v="1.64"/>
        <n v="1.52"/>
        <n v="1.5"/>
        <n v="1.32"/>
        <n v="6.54"/>
        <n v="5.67"/>
        <n v="4.84"/>
        <n v="4.29"/>
        <n v="3.59"/>
        <n v="2.56"/>
        <n v="2.5299999999999998"/>
        <n v="2.23"/>
        <n v="1.92"/>
        <n v="1.9"/>
        <n v="1.88"/>
        <n v="1.6"/>
        <n v="1.2"/>
        <n v="1.1599999999999999"/>
        <n v="1.1399999999999999"/>
        <n v="4.96"/>
        <n v="4.71"/>
        <n v="3.02"/>
        <n v="2.84"/>
        <n v="2.79"/>
        <n v="2.4300000000000002"/>
        <n v="2.35"/>
        <n v="2.2799999999999998"/>
        <n v="2.0499999999999998"/>
        <n v="1.82"/>
        <n v="1.59"/>
        <n v="1.56"/>
        <n v="1.51"/>
        <n v="1.48"/>
        <n v="1.43"/>
        <n v="1.41"/>
        <n v="4.74"/>
        <n v="4.54"/>
        <n v="3.96"/>
        <n v="2.99"/>
        <n v="2.4"/>
        <n v="2.21"/>
        <n v="2.0099999999999998"/>
        <n v="1.75"/>
        <n v="1.69"/>
        <n v="1.36"/>
        <n v="1.3"/>
        <n v="1.23"/>
        <n v="5.34"/>
        <n v="4.53"/>
        <n v="2.98"/>
        <n v="2.77"/>
        <n v="2.73"/>
        <n v="2.65"/>
        <n v="2.36"/>
        <n v="1.83"/>
        <n v="1.79"/>
        <n v="1.71"/>
        <n v="5.93"/>
        <n v="3.53"/>
        <n v="2.9"/>
        <n v="2.82"/>
        <n v="2.78"/>
        <n v="2.15"/>
        <n v="2.06"/>
        <n v="1.85"/>
        <n v="1.81"/>
        <n v="1.68"/>
        <n v="1.47"/>
        <n v="5.62"/>
        <n v="4.6399999999999997"/>
        <n v="3.83"/>
        <n v="3.16"/>
        <n v="2.61"/>
        <n v="2.52"/>
        <n v="2.25"/>
        <n v="1.94"/>
        <n v="1.76"/>
        <n v="1.73"/>
        <n v="1.37"/>
        <n v="1.34"/>
        <n v="1.31"/>
        <n v="7.1"/>
        <n v="5.61"/>
        <n v="4.03"/>
        <n v="3.77"/>
        <n v="3.51"/>
        <n v="3.24"/>
        <n v="2.1"/>
        <n v="2.02"/>
        <n v="1.84"/>
        <n v="1.67"/>
        <n v="1.49"/>
        <n v="1.4"/>
        <n v="9.66"/>
        <n v="4.67"/>
        <n v="3.8"/>
        <n v="3.04"/>
        <n v="2.5"/>
        <n v="2.39"/>
        <n v="2.17"/>
        <n v="1.74"/>
        <n v="7.54"/>
        <n v="5.35"/>
        <n v="3.7"/>
        <n v="3.43"/>
        <n v="2.19"/>
        <n v="1.78"/>
        <n v="1.65"/>
        <n v="6.69"/>
        <n v="4.26"/>
        <n v="3.42"/>
        <n v="3.19"/>
        <n v="2.89"/>
        <n v="1.44"/>
        <n v="1.22"/>
        <n v="6.81"/>
        <n v="5.43"/>
        <n v="4.05"/>
        <n v="3.97"/>
        <n v="3.32"/>
        <n v="3.08"/>
        <n v="2.11"/>
        <n v="1.62"/>
        <n v="1.38"/>
        <n v="5.23"/>
        <n v="4.49"/>
        <n v="3.74"/>
        <n v="2.8"/>
        <n v="2.71"/>
        <n v="2.34"/>
        <n v="6.41"/>
        <n v="4.0599999999999996"/>
        <n v="3.27"/>
        <n v="2.62"/>
        <n v="2.09"/>
        <n v="1.7"/>
        <n v="1.57"/>
        <n v="7.68"/>
        <n v="5.95"/>
        <n v="4.76"/>
        <n v="3.14"/>
        <n v="3.03"/>
        <n v="2.59"/>
        <n v="5.89"/>
        <n v="3.84"/>
        <n v="3.52"/>
        <n v="3.11"/>
        <n v="2.94"/>
        <n v="2.86"/>
        <n v="2.4500000000000002"/>
        <n v="2.37"/>
        <n v="2.29"/>
        <n v="2.04"/>
        <n v="1.72"/>
        <n v="1.39"/>
        <n v="4.7699999999999996"/>
        <n v="4.51"/>
        <n v="4.1100000000000003"/>
        <n v="3.05"/>
        <n v="2.92"/>
        <n v="1.86"/>
        <n v="6"/>
        <n v="3.54"/>
        <n v="3.5"/>
        <n v="2.46"/>
        <n v="2.3199999999999998"/>
        <n v="2.14"/>
        <n v="1.93"/>
        <n v="1.61"/>
        <n v="6.45"/>
        <n v="3.85"/>
        <n v="3.17"/>
        <n v="2.4900000000000002"/>
        <n v="2.38"/>
        <n v="2.2599999999999998"/>
        <n v="6.25"/>
        <n v="5.8"/>
        <n v="4.0199999999999996"/>
        <n v="3.13"/>
        <n v="2.68"/>
        <n v="7"/>
        <n v="5"/>
        <n v="4"/>
        <n v="3"/>
        <n v="1"/>
        <n v="4.68"/>
        <n v="3.4"/>
        <n v="1.28"/>
        <n v="6.55"/>
        <n v="3.79"/>
        <n v="3.45"/>
        <n v="3.1"/>
        <n v="2.41"/>
        <n v="2.0699999999999998"/>
        <n v="7.63"/>
        <n v="3.61"/>
        <n v="3.21"/>
        <n v="2.81"/>
        <n v="4.6500000000000004"/>
        <n v="4.1500000000000004"/>
        <n v="1.99"/>
        <n v="1.33"/>
        <n v="5.57"/>
        <n v="3.76"/>
        <n v="5.52"/>
        <n v="4.91"/>
        <n v="3.68"/>
        <n v="3.07"/>
        <n v="4.25"/>
        <n v="3.92"/>
        <n v="10.87"/>
        <n v="8.6999999999999993"/>
        <n v="6.52"/>
        <n v="4.3499999999999996"/>
        <n v="6.22"/>
        <n v="5.18"/>
        <n v="4.66"/>
        <n v="8.24"/>
        <n v="7.69"/>
        <n v="3.3"/>
        <n v="2.75"/>
        <n v="7.55"/>
        <n v="7.25"/>
        <n v="5.74"/>
        <n v="5.44"/>
        <n v="5.14"/>
        <n v="3.93"/>
        <n v="2.72"/>
        <n v="2.42"/>
        <n v="1.21"/>
        <n v="4.83"/>
        <n v="4.58"/>
        <n v="3.56"/>
        <n v="3.31"/>
        <n v="1.53"/>
        <n v="1.27"/>
        <n v="6.5"/>
        <n v="5.42"/>
        <n v="4.62"/>
        <n v="3.33"/>
        <n v="2.96"/>
        <n v="2.2200000000000002"/>
        <n v="2.0299999999999998"/>
        <n v="1.29"/>
        <n v="4.1399999999999997"/>
        <n v="5.29"/>
        <n v="4.79"/>
        <n v="4.28"/>
        <n v="2.27"/>
        <n v="1.26"/>
        <n v="2.44"/>
        <n v="1.05"/>
        <n v="4.92"/>
        <n v="3.69"/>
        <n v="3.38"/>
        <n v="8.9700000000000006"/>
        <n v="5.13"/>
        <n v="6.14"/>
        <n v="4.82"/>
        <n v="2.63"/>
        <n v="7.31"/>
        <n v="5.77"/>
        <n v="4.2300000000000004"/>
        <n v="1.1499999999999999"/>
        <n v="7.83"/>
        <n v="5.22"/>
        <n v="3.48"/>
        <n v="17.739999999999998"/>
        <n v="3.23"/>
        <n v="6.6"/>
        <n v="4.72"/>
        <n v="2.83"/>
        <n v="1.89"/>
        <n v="9.68"/>
        <n v="8"/>
        <n v="17.14"/>
        <n v="5.71"/>
        <n v="7.14"/>
        <n v="5.49"/>
        <n v="4.12"/>
        <n v="2.4700000000000002"/>
        <n v="4.5"/>
      </sharedItems>
    </cacheField>
    <cacheField name="総数（個人）" numFmtId="0" sqlType="4">
      <sharedItems containsSemiMixedTypes="0" containsString="0" containsNumber="1" containsInteger="1" minValue="0" maxValue="2057" count="125">
        <n v="2057"/>
        <n v="747"/>
        <n v="1274"/>
        <n v="169"/>
        <n v="979"/>
        <n v="818"/>
        <n v="601"/>
        <n v="621"/>
        <n v="824"/>
        <n v="804"/>
        <n v="543"/>
        <n v="640"/>
        <n v="586"/>
        <n v="337"/>
        <n v="247"/>
        <n v="158"/>
        <n v="160"/>
        <n v="138"/>
        <n v="56"/>
        <n v="239"/>
        <n v="268"/>
        <n v="724"/>
        <n v="419"/>
        <n v="336"/>
        <n v="406"/>
        <n v="289"/>
        <n v="28"/>
        <n v="62"/>
        <n v="312"/>
        <n v="297"/>
        <n v="61"/>
        <n v="199"/>
        <n v="29"/>
        <n v="173"/>
        <n v="64"/>
        <n v="150"/>
        <n v="99"/>
        <n v="25"/>
        <n v="51"/>
        <n v="140"/>
        <n v="360"/>
        <n v="111"/>
        <n v="258"/>
        <n v="194"/>
        <n v="184"/>
        <n v="13"/>
        <n v="18"/>
        <n v="58"/>
        <n v="107"/>
        <n v="104"/>
        <n v="16"/>
        <n v="114"/>
        <n v="24"/>
        <n v="103"/>
        <n v="52"/>
        <n v="4"/>
        <n v="37"/>
        <n v="71"/>
        <n v="53"/>
        <n v="47"/>
        <n v="175"/>
        <n v="36"/>
        <n v="19"/>
        <n v="63"/>
        <n v="94"/>
        <n v="85"/>
        <n v="73"/>
        <n v="7"/>
        <n v="6"/>
        <n v="12"/>
        <n v="10"/>
        <n v="40"/>
        <n v="1"/>
        <n v="32"/>
        <n v="8"/>
        <n v="66"/>
        <n v="27"/>
        <n v="23"/>
        <n v="5"/>
        <n v="17"/>
        <n v="3"/>
        <n v="119"/>
        <n v="39"/>
        <n v="38"/>
        <n v="44"/>
        <n v="34"/>
        <n v="9"/>
        <n v="20"/>
        <n v="11"/>
        <n v="55"/>
        <n v="106"/>
        <n v="77"/>
        <n v="54"/>
        <n v="49"/>
        <n v="22"/>
        <n v="26"/>
        <n v="33"/>
        <n v="166"/>
        <n v="115"/>
        <n v="118"/>
        <n v="102"/>
        <n v="76"/>
        <n v="75"/>
        <n v="50"/>
        <n v="46"/>
        <n v="15"/>
        <n v="43"/>
        <n v="31"/>
        <n v="78"/>
        <n v="60"/>
        <n v="35"/>
        <n v="41"/>
        <n v="79"/>
        <n v="14"/>
        <n v="48"/>
        <n v="2"/>
        <n v="82"/>
        <n v="30"/>
        <n v="21"/>
        <n v="45"/>
        <n v="0"/>
        <n v="42"/>
        <n v="162"/>
        <n v="98"/>
        <n v="59"/>
      </sharedItems>
    </cacheField>
    <cacheField name="構成比（個人）" numFmtId="0" sqlType="3">
      <sharedItems containsSemiMixedTypes="0" containsString="0" containsNumber="1" minValue="0" maxValue="21.28" count="421">
        <n v="9.69"/>
        <n v="3.52"/>
        <n v="6"/>
        <n v="0.8"/>
        <n v="4.6100000000000003"/>
        <n v="3.85"/>
        <n v="2.83"/>
        <n v="2.92"/>
        <n v="3.88"/>
        <n v="3.79"/>
        <n v="2.56"/>
        <n v="3.01"/>
        <n v="2.76"/>
        <n v="1.59"/>
        <n v="1.1599999999999999"/>
        <n v="0.74"/>
        <n v="0.75"/>
        <n v="0.65"/>
        <n v="0.26"/>
        <n v="1.1299999999999999"/>
        <n v="3.83"/>
        <n v="10.34"/>
        <n v="5.99"/>
        <n v="4.8"/>
        <n v="5.8"/>
        <n v="4.13"/>
        <n v="0.4"/>
        <n v="0.89"/>
        <n v="4.46"/>
        <n v="4.24"/>
        <n v="0.87"/>
        <n v="2.84"/>
        <n v="0.41"/>
        <n v="2.4700000000000002"/>
        <n v="0.91"/>
        <n v="2.14"/>
        <n v="1.41"/>
        <n v="0.36"/>
        <n v="0.73"/>
        <n v="2"/>
        <n v="13.04"/>
        <n v="4.0199999999999996"/>
        <n v="9.35"/>
        <n v="7.03"/>
        <n v="6.67"/>
        <n v="0.47"/>
        <n v="2.1"/>
        <n v="3.77"/>
        <n v="0.57999999999999996"/>
        <n v="3.73"/>
        <n v="1.88"/>
        <n v="0.14000000000000001"/>
        <n v="1.34"/>
        <n v="2.57"/>
        <n v="2.21"/>
        <n v="1.92"/>
        <n v="1.7"/>
        <n v="10.99"/>
        <n v="2.2599999999999998"/>
        <n v="1.19"/>
        <n v="3.96"/>
        <n v="5.9"/>
        <n v="5.34"/>
        <n v="4.59"/>
        <n v="0.25"/>
        <n v="0.44"/>
        <n v="0.38"/>
        <n v="0.63"/>
        <n v="2.5099999999999998"/>
        <n v="0.06"/>
        <n v="2.0099999999999998"/>
        <n v="0.5"/>
        <n v="3.33"/>
        <n v="10.38"/>
        <n v="4.25"/>
        <n v="9.1199999999999992"/>
        <n v="0.94"/>
        <n v="3.93"/>
        <n v="3.62"/>
        <n v="1.26"/>
        <n v="1.1000000000000001"/>
        <n v="4.4000000000000004"/>
        <n v="0.79"/>
        <n v="2.67"/>
        <n v="0.16"/>
        <n v="2.99"/>
        <n v="1.57"/>
        <n v="11.96"/>
        <n v="3.92"/>
        <n v="3.82"/>
        <n v="6.33"/>
        <n v="4.42"/>
        <n v="1.71"/>
        <n v="4.72"/>
        <n v="3.42"/>
        <n v="0.7"/>
        <n v="0.9"/>
        <n v="0.3"/>
        <n v="1.31"/>
        <n v="0.6"/>
        <n v="1.1100000000000001"/>
        <n v="5.41"/>
        <n v="10.42"/>
        <n v="7.57"/>
        <n v="3.74"/>
        <n v="5.31"/>
        <n v="4.82"/>
        <n v="1.08"/>
        <n v="0.49"/>
        <n v="3.54"/>
        <n v="1.18"/>
        <n v="0.28999999999999998"/>
        <n v="2.16"/>
        <n v="0.88"/>
        <n v="3.24"/>
        <n v="9.02"/>
        <n v="6.25"/>
        <n v="6.41"/>
        <n v="5.54"/>
        <n v="0.98"/>
        <n v="4.08"/>
        <n v="2.72"/>
        <n v="2.5"/>
        <n v="2.93"/>
        <n v="1.58"/>
        <n v="0.82"/>
        <n v="2.5499999999999998"/>
        <n v="2.34"/>
        <n v="1.0900000000000001"/>
        <n v="2.39"/>
        <n v="1.79"/>
        <n v="1.68"/>
        <n v="11.03"/>
        <n v="8.49"/>
        <n v="4.95"/>
        <n v="5.23"/>
        <n v="4.38"/>
        <n v="3.25"/>
        <n v="3.39"/>
        <n v="1.84"/>
        <n v="2.12"/>
        <n v="0.71"/>
        <n v="0.56999999999999995"/>
        <n v="1.27"/>
        <n v="0.42"/>
        <n v="0.99"/>
        <n v="15.64"/>
        <n v="8.1199999999999992"/>
        <n v="4.55"/>
        <n v="2.97"/>
        <n v="0.59"/>
        <n v="3.76"/>
        <n v="3.17"/>
        <n v="3.56"/>
        <n v="2.77"/>
        <n v="1.78"/>
        <n v="1.39"/>
        <n v="10.5"/>
        <n v="8.32"/>
        <n v="6.78"/>
        <n v="5.47"/>
        <n v="5.03"/>
        <n v="3.72"/>
        <n v="3.5"/>
        <n v="2.41"/>
        <n v="0.66"/>
        <n v="1.97"/>
        <n v="1.75"/>
        <n v="1.53"/>
        <n v="0.22"/>
        <n v="11.05"/>
        <n v="6.87"/>
        <n v="0.67"/>
        <n v="3.91"/>
        <n v="3.1"/>
        <n v="5.26"/>
        <n v="4.3099999999999996"/>
        <n v="2.4300000000000002"/>
        <n v="3.23"/>
        <n v="1.48"/>
        <n v="2.7"/>
        <n v="0.54"/>
        <n v="1.35"/>
        <n v="0.81"/>
        <n v="10.31"/>
        <n v="8.6199999999999992"/>
        <n v="6.27"/>
        <n v="4.7"/>
        <n v="4.4400000000000004"/>
        <n v="2.87"/>
        <n v="2.74"/>
        <n v="2.09"/>
        <n v="0.78"/>
        <n v="1.96"/>
        <n v="1.83"/>
        <n v="1.04"/>
        <n v="9.01"/>
        <n v="7.8"/>
        <n v="7.11"/>
        <n v="4.33"/>
        <n v="3.12"/>
        <n v="2.08"/>
        <n v="4.68"/>
        <n v="4.16"/>
        <n v="3.47"/>
        <n v="3.81"/>
        <n v="2.95"/>
        <n v="1.56"/>
        <n v="0.52"/>
        <n v="1.21"/>
        <n v="0.69"/>
        <n v="0"/>
        <n v="10.85"/>
        <n v="7.49"/>
        <n v="4.91"/>
        <n v="1.03"/>
        <n v="4.6500000000000004"/>
        <n v="2.0699999999999998"/>
        <n v="2.33"/>
        <n v="3.36"/>
        <n v="1.29"/>
        <n v="1.81"/>
        <n v="9.73"/>
        <n v="8.16"/>
        <n v="1.73"/>
        <n v="2.2000000000000002"/>
        <n v="0.31"/>
        <n v="9.58"/>
        <n v="6.89"/>
        <n v="4.04"/>
        <n v="3.14"/>
        <n v="3.44"/>
        <n v="4.34"/>
        <n v="3.89"/>
        <n v="0.45"/>
        <n v="2.54"/>
        <n v="1.95"/>
        <n v="1.2"/>
        <n v="7.64"/>
        <n v="6.02"/>
        <n v="0.93"/>
        <n v="5.56"/>
        <n v="5.32"/>
        <n v="4.8600000000000003"/>
        <n v="3.94"/>
        <n v="2.78"/>
        <n v="2.31"/>
        <n v="0.23"/>
        <n v="1.62"/>
        <n v="0.46"/>
        <n v="8.56"/>
        <n v="5.18"/>
        <n v="4.01"/>
        <n v="3.86"/>
        <n v="2.91"/>
        <n v="0.85"/>
        <n v="2.64"/>
        <n v="2.8"/>
        <n v="2.69"/>
        <n v="1.06"/>
        <n v="2.06"/>
        <n v="1.9"/>
        <n v="2.17"/>
        <n v="2.3199999999999998"/>
        <n v="1.22"/>
        <n v="12.59"/>
        <n v="8.15"/>
        <n v="6.17"/>
        <n v="6.42"/>
        <n v="4.9400000000000004"/>
        <n v="1.23"/>
        <n v="2.2200000000000002"/>
        <n v="1.98"/>
        <n v="9.66"/>
        <n v="8.9700000000000006"/>
        <n v="4.83"/>
        <n v="1.38"/>
        <n v="3.45"/>
        <n v="3.57"/>
        <n v="10.71"/>
        <n v="5.36"/>
        <n v="8.93"/>
        <n v="8.0299999999999994"/>
        <n v="5.1100000000000003"/>
        <n v="3.65"/>
        <n v="2.19"/>
        <n v="1.46"/>
        <n v="10.84"/>
        <n v="4.22"/>
        <n v="5.42"/>
        <n v="10.119999999999999"/>
        <n v="7.74"/>
        <n v="5.95"/>
        <n v="2.38"/>
        <n v="4.17"/>
        <n v="4.76"/>
        <n v="2.98"/>
        <n v="8.98"/>
        <n v="4.3"/>
        <n v="7.42"/>
        <n v="4.6900000000000004"/>
        <n v="0.39"/>
        <n v="5.08"/>
        <n v="2.73"/>
        <n v="1.17"/>
        <n v="11.75"/>
        <n v="6.35"/>
        <n v="5.71"/>
        <n v="0.95"/>
        <n v="2.86"/>
        <n v="0.32"/>
        <n v="5.43"/>
        <n v="7.61"/>
        <n v="4.3499999999999996"/>
        <n v="8.6999999999999993"/>
        <n v="3.26"/>
        <n v="6.52"/>
        <n v="4.2300000000000004"/>
        <n v="6.88"/>
        <n v="5.29"/>
        <n v="3.7"/>
        <n v="0.53"/>
        <n v="2.65"/>
        <n v="6.96"/>
        <n v="7.83"/>
        <n v="5.22"/>
        <n v="3.48"/>
        <n v="1.74"/>
        <n v="2.61"/>
        <n v="8.7899999999999991"/>
        <n v="6.59"/>
        <n v="3.3"/>
        <n v="10.23"/>
        <n v="8.3699999999999992"/>
        <n v="7.91"/>
        <n v="5.58"/>
        <n v="2.79"/>
        <n v="1.86"/>
        <n v="1.4"/>
        <n v="7.04"/>
        <n v="6.53"/>
        <n v="4.5199999999999996"/>
        <n v="1.51"/>
        <n v="1.01"/>
        <n v="3.02"/>
        <n v="18.18"/>
        <n v="2.27"/>
        <n v="1.1399999999999999"/>
        <n v="3.41"/>
        <n v="5.68"/>
        <n v="6.82"/>
        <n v="8.8800000000000008"/>
        <n v="5.0199999999999996"/>
        <n v="6.18"/>
        <n v="0.77"/>
        <n v="3.09"/>
        <n v="4.63"/>
        <n v="1.54"/>
        <n v="1.93"/>
        <n v="9.09"/>
        <n v="7.14"/>
        <n v="5.19"/>
        <n v="1.3"/>
        <n v="3.9"/>
        <n v="2.6"/>
        <n v="6.36"/>
        <n v="8.0500000000000007"/>
        <n v="4.66"/>
        <n v="1.69"/>
        <n v="8.3800000000000008"/>
        <n v="3.35"/>
        <n v="4.47"/>
        <n v="0.56000000000000005"/>
        <n v="2.23"/>
        <n v="1.1200000000000001"/>
        <n v="12.57"/>
        <n v="8.57"/>
        <n v="4.57"/>
        <n v="2.29"/>
        <n v="3.43"/>
        <n v="17.07"/>
        <n v="9.76"/>
        <n v="2.44"/>
        <n v="7.32"/>
        <n v="4.88"/>
        <n v="8.94"/>
        <n v="6.5"/>
        <n v="4.07"/>
        <n v="1.63"/>
        <n v="11.3"/>
        <n v="10.73"/>
        <n v="8.4700000000000006"/>
        <n v="6.21"/>
        <n v="2.82"/>
        <n v="10.81"/>
        <n v="8.11"/>
        <n v="6.76"/>
        <n v="4.05"/>
        <n v="21.28"/>
        <n v="8.51"/>
        <n v="4.26"/>
        <n v="2.13"/>
        <n v="4.29"/>
        <n v="1.43"/>
        <n v="10.53"/>
        <n v="15.79"/>
        <n v="20.83"/>
        <n v="8.33"/>
        <n v="11.45"/>
        <n v="8.81"/>
        <n v="4.8499999999999996"/>
        <n v="3.08"/>
        <n v="1.76"/>
        <n v="1.32"/>
        <n v="11.57"/>
        <n v="0.83"/>
        <n v="7.44"/>
        <n v="3.31"/>
        <n v="4.96"/>
        <n v="1.65"/>
        <n v="2.48"/>
      </sharedItems>
    </cacheField>
    <cacheField name="総数（法人）" numFmtId="0" sqlType="4">
      <sharedItems containsSemiMixedTypes="0" containsString="0" containsNumber="1" containsInteger="1" minValue="0" maxValue="936" count="100">
        <n v="205"/>
        <n v="829"/>
        <n v="70"/>
        <n v="936"/>
        <n v="89"/>
        <n v="238"/>
        <n v="362"/>
        <n v="324"/>
        <n v="87"/>
        <n v="98"/>
        <n v="275"/>
        <n v="171"/>
        <n v="186"/>
        <n v="338"/>
        <n v="428"/>
        <n v="503"/>
        <n v="481"/>
        <n v="500"/>
        <n v="498"/>
        <n v="320"/>
        <n v="596"/>
        <n v="59"/>
        <n v="122"/>
        <n v="37"/>
        <n v="97"/>
        <n v="351"/>
        <n v="294"/>
        <n v="47"/>
        <n v="56"/>
        <n v="289"/>
        <n v="133"/>
        <n v="297"/>
        <n v="144"/>
        <n v="212"/>
        <n v="124"/>
        <n v="173"/>
        <n v="227"/>
        <n v="198"/>
        <n v="79"/>
        <n v="53"/>
        <n v="247"/>
        <n v="48"/>
        <n v="77"/>
        <n v="43"/>
        <n v="168"/>
        <n v="143"/>
        <n v="102"/>
        <n v="121"/>
        <n v="7"/>
        <n v="96"/>
        <n v="16"/>
        <n v="51"/>
        <n v="39"/>
        <n v="2"/>
        <n v="12"/>
        <n v="19"/>
        <n v="25"/>
        <n v="148"/>
        <n v="99"/>
        <n v="15"/>
        <n v="14"/>
        <n v="22"/>
        <n v="88"/>
        <n v="72"/>
        <n v="82"/>
        <n v="74"/>
        <n v="11"/>
        <n v="52"/>
        <n v="49"/>
        <n v="24"/>
        <n v="3"/>
        <n v="40"/>
        <n v="21"/>
        <n v="20"/>
        <n v="29"/>
        <n v="27"/>
        <n v="13"/>
        <n v="8"/>
        <n v="9"/>
        <n v="35"/>
        <n v="5"/>
        <n v="45"/>
        <n v="6"/>
        <n v="38"/>
        <n v="36"/>
        <n v="28"/>
        <n v="86"/>
        <n v="31"/>
        <n v="32"/>
        <n v="18"/>
        <n v="26"/>
        <n v="73"/>
        <n v="10"/>
        <n v="33"/>
        <n v="4"/>
        <n v="1"/>
        <n v="17"/>
        <n v="42"/>
        <n v="0"/>
        <n v="23"/>
      </sharedItems>
    </cacheField>
    <cacheField name="構成比（法人）" numFmtId="0" sqlType="3">
      <sharedItems containsSemiMixedTypes="0" containsString="0" containsNumber="1" minValue="0" maxValue="27.27" count="321">
        <n v="1.05"/>
        <n v="4.2300000000000004"/>
        <n v="0.36"/>
        <n v="4.78"/>
        <n v="0.45"/>
        <n v="1.21"/>
        <n v="1.85"/>
        <n v="1.65"/>
        <n v="0.44"/>
        <n v="0.5"/>
        <n v="1.4"/>
        <n v="0.87"/>
        <n v="0.95"/>
        <n v="1.73"/>
        <n v="2.1800000000000002"/>
        <n v="2.57"/>
        <n v="2.46"/>
        <n v="2.5499999999999998"/>
        <n v="2.54"/>
        <n v="1.63"/>
        <n v="6.3"/>
        <n v="1.04"/>
        <n v="0.62"/>
        <n v="1.29"/>
        <n v="0.39"/>
        <n v="1.03"/>
        <n v="3.71"/>
        <n v="3.11"/>
        <n v="0.59"/>
        <n v="3.06"/>
        <n v="1.41"/>
        <n v="3.14"/>
        <n v="1.52"/>
        <n v="2.2400000000000002"/>
        <n v="1.31"/>
        <n v="1.83"/>
        <n v="2.4"/>
        <n v="2.09"/>
        <n v="0.84"/>
        <n v="1.5"/>
        <n v="7.01"/>
        <n v="1.36"/>
        <n v="1.22"/>
        <n v="4.76"/>
        <n v="4.0599999999999996"/>
        <n v="2.89"/>
        <n v="3.43"/>
        <n v="0.2"/>
        <n v="2.72"/>
        <n v="1.45"/>
        <n v="2.75"/>
        <n v="1.1100000000000001"/>
        <n v="0.06"/>
        <n v="0.34"/>
        <n v="0.54"/>
        <n v="0.71"/>
        <n v="0.83"/>
        <n v="6.43"/>
        <n v="4.3"/>
        <n v="0.65"/>
        <n v="0.61"/>
        <n v="0.96"/>
        <n v="3.82"/>
        <n v="3.13"/>
        <n v="3.56"/>
        <n v="3.22"/>
        <n v="0.48"/>
        <n v="2.56"/>
        <n v="2.2599999999999998"/>
        <n v="2.13"/>
        <n v="2.4300000000000002"/>
        <n v="2.04"/>
        <n v="0.09"/>
        <n v="0.8"/>
        <n v="4.91"/>
        <n v="4.57"/>
        <n v="2.29"/>
        <n v="3.31"/>
        <n v="3.09"/>
        <n v="1.49"/>
        <n v="2.74"/>
        <n v="1.37"/>
        <n v="0.91"/>
        <n v="2.17"/>
        <n v="1.6"/>
        <n v="1.26"/>
        <n v="5.03"/>
        <n v="2.4500000000000002"/>
        <n v="0.35"/>
        <n v="4.13"/>
        <n v="1.47"/>
        <n v="3.15"/>
        <n v="1.33"/>
        <n v="0.42"/>
        <n v="2.66"/>
        <n v="2.8"/>
        <n v="2.0299999999999998"/>
        <n v="2.52"/>
        <n v="1.1200000000000001"/>
        <n v="1.96"/>
        <n v="1.54"/>
        <n v="6.5"/>
        <n v="0.53"/>
        <n v="2.34"/>
        <n v="4.46"/>
        <n v="0.6"/>
        <n v="3.4"/>
        <n v="0.98"/>
        <n v="2.42"/>
        <n v="3.02"/>
        <n v="2.19"/>
        <n v="1.44"/>
        <n v="0.68"/>
        <n v="0.15"/>
        <n v="0.56999999999999995"/>
        <n v="0.14000000000000001"/>
        <n v="5.22"/>
        <n v="1.72"/>
        <n v="0.79"/>
        <n v="2.5"/>
        <n v="1"/>
        <n v="1.07"/>
        <n v="2.36"/>
        <n v="0.47"/>
        <n v="1.42"/>
        <n v="2.6"/>
        <n v="3.78"/>
        <n v="2.84"/>
        <n v="3.55"/>
        <n v="1.89"/>
        <n v="2.4700000000000002"/>
        <n v="0.49"/>
        <n v="2.96"/>
        <n v="0.74"/>
        <n v="2.2200000000000002"/>
        <n v="4.6900000000000004"/>
        <n v="0.99"/>
        <n v="3.46"/>
        <n v="0.25"/>
        <n v="1.23"/>
        <n v="3.21"/>
        <n v="1.98"/>
        <n v="1.48"/>
        <n v="2.63"/>
        <n v="0.38"/>
        <n v="0.75"/>
        <n v="4.8899999999999997"/>
        <n v="1.88"/>
        <n v="1.1299999999999999"/>
        <n v="3.76"/>
        <n v="3.01"/>
        <n v="0.89"/>
        <n v="7.1"/>
        <n v="3.37"/>
        <n v="0.18"/>
        <n v="1.24"/>
        <n v="3.2"/>
        <n v="1.95"/>
        <n v="1.78"/>
        <n v="1.1499999999999999"/>
        <n v="0.23"/>
        <n v="0.46"/>
        <n v="9.6999999999999993"/>
        <n v="2.77"/>
        <n v="0.92"/>
        <n v="3.23"/>
        <n v="0.69"/>
        <n v="0.63"/>
        <n v="0"/>
        <n v="7.29"/>
        <n v="1.25"/>
        <n v="2.92"/>
        <n v="3.75"/>
        <n v="1.46"/>
        <n v="2.08"/>
        <n v="6.17"/>
        <n v="1.61"/>
        <n v="0.27"/>
        <n v="2.14"/>
        <n v="2.41"/>
        <n v="3.27"/>
        <n v="1.0900000000000001"/>
        <n v="3.64"/>
        <n v="8"/>
        <n v="1.82"/>
        <n v="6.18"/>
        <n v="4.7300000000000004"/>
        <n v="4"/>
        <n v="4.3600000000000003"/>
        <n v="0.19"/>
        <n v="2.97"/>
        <n v="3.16"/>
        <n v="4.6500000000000004"/>
        <n v="0.56000000000000005"/>
        <n v="1.3"/>
        <n v="3.72"/>
        <n v="2.23"/>
        <n v="1.67"/>
        <n v="0.97"/>
        <n v="2.58"/>
        <n v="8.7100000000000009"/>
        <n v="0.32"/>
        <n v="2.9"/>
        <n v="1.94"/>
        <n v="3.87"/>
        <n v="0.12"/>
        <n v="2.7"/>
        <n v="1.84"/>
        <n v="2.94"/>
        <n v="6.01"/>
        <n v="0.37"/>
        <n v="3.93"/>
        <n v="1.1000000000000001"/>
        <n v="2.33"/>
        <n v="1.28"/>
        <n v="0.21"/>
        <n v="0.43"/>
        <n v="5.56"/>
        <n v="2.35"/>
        <n v="4.49"/>
        <n v="2.78"/>
        <n v="0.85"/>
        <n v="15.79"/>
        <n v="3.95"/>
        <n v="5.26"/>
        <n v="1.32"/>
        <n v="11.9"/>
        <n v="7.14"/>
        <n v="2.38"/>
        <n v="2.15"/>
        <n v="8.6"/>
        <n v="6.45"/>
        <n v="1.08"/>
        <n v="5.88"/>
        <n v="5.04"/>
        <n v="3.36"/>
        <n v="1.68"/>
        <n v="4.2"/>
        <n v="2.5299999999999998"/>
        <n v="1.27"/>
        <n v="6.33"/>
        <n v="11.39"/>
        <n v="3.8"/>
        <n v="3.85"/>
        <n v="0.3"/>
        <n v="1.18"/>
        <n v="2.0699999999999998"/>
        <n v="3.1"/>
        <n v="0.88"/>
        <n v="1.55"/>
        <n v="3.54"/>
        <n v="1.99"/>
        <n v="2.88"/>
        <n v="2.21"/>
        <n v="2.65"/>
        <n v="0.66"/>
        <n v="6.35"/>
        <n v="1.59"/>
        <n v="7.94"/>
        <n v="3.17"/>
        <n v="7.41"/>
        <n v="4.63"/>
        <n v="6.48"/>
        <n v="3.7"/>
        <n v="0.93"/>
        <n v="20"/>
        <n v="10"/>
        <n v="5"/>
        <n v="16.670000000000002"/>
        <n v="4.17"/>
        <n v="1.39"/>
        <n v="7.78"/>
        <n v="15.56"/>
        <n v="3.33"/>
        <n v="2.73"/>
        <n v="5.45"/>
        <n v="7.81"/>
        <n v="0.52"/>
        <n v="3.65"/>
        <n v="1.56"/>
        <n v="1.06"/>
        <n v="6.91"/>
        <n v="4.26"/>
        <n v="7.91"/>
        <n v="0.72"/>
        <n v="3.24"/>
        <n v="4.68"/>
        <n v="1.8"/>
        <n v="2.16"/>
        <n v="3.6"/>
        <n v="5.15"/>
        <n v="4.41"/>
        <n v="3.68"/>
        <n v="3.29"/>
        <n v="6.58"/>
        <n v="1.97"/>
        <n v="4.6100000000000003"/>
        <n v="6.8"/>
        <n v="2.91"/>
        <n v="4.8499999999999996"/>
        <n v="4.8600000000000003"/>
        <n v="6.25"/>
        <n v="3.47"/>
        <n v="9.09"/>
        <n v="6.06"/>
        <n v="3.03"/>
        <n v="3.92"/>
        <n v="5.13"/>
        <n v="10.53"/>
        <n v="7.89"/>
        <n v="7.69"/>
        <n v="11.11"/>
        <n v="27.27"/>
        <n v="18.18"/>
        <n v="0.76"/>
        <n v="4.55"/>
        <n v="2.27"/>
        <n v="3.79"/>
        <n v="12.68"/>
        <n v="2.82"/>
        <n v="5.63"/>
      </sharedItems>
    </cacheField>
    <cacheField name="総数（法人以外の団体）" numFmtId="0" sqlType="4">
      <sharedItems containsSemiMixedTypes="0" containsString="0" containsNumber="1" containsInteger="1" minValue="0" maxValue="52" count="6">
        <n v="0"/>
        <n v="5"/>
        <n v="4"/>
        <n v="1"/>
        <n v="2"/>
        <n v="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5">
  <r>
    <x v="0"/>
    <s v="熊本県"/>
    <x v="0"/>
    <x v="0"/>
    <n v="9"/>
    <n v="0.02"/>
    <n v="2"/>
    <n v="0.01"/>
    <n v="7"/>
    <n v="0.04"/>
    <x v="0"/>
  </r>
  <r>
    <x v="0"/>
    <s v="熊本県"/>
    <x v="0"/>
    <x v="1"/>
    <n v="5847"/>
    <n v="14.13"/>
    <n v="1887"/>
    <n v="8.89"/>
    <n v="3960"/>
    <n v="20.21"/>
    <x v="0"/>
  </r>
  <r>
    <x v="0"/>
    <s v="熊本県"/>
    <x v="0"/>
    <x v="2"/>
    <n v="2468"/>
    <n v="5.96"/>
    <n v="917"/>
    <n v="4.32"/>
    <n v="1545"/>
    <n v="7.89"/>
    <x v="1"/>
  </r>
  <r>
    <x v="0"/>
    <s v="熊本県"/>
    <x v="0"/>
    <x v="3"/>
    <n v="145"/>
    <n v="0.35"/>
    <n v="0"/>
    <n v="0"/>
    <n v="126"/>
    <n v="0.64"/>
    <x v="0"/>
  </r>
  <r>
    <x v="0"/>
    <s v="熊本県"/>
    <x v="0"/>
    <x v="4"/>
    <n v="309"/>
    <n v="0.75"/>
    <n v="28"/>
    <n v="0.13"/>
    <n v="280"/>
    <n v="1.43"/>
    <x v="0"/>
  </r>
  <r>
    <x v="0"/>
    <s v="熊本県"/>
    <x v="0"/>
    <x v="5"/>
    <n v="455"/>
    <n v="1.1000000000000001"/>
    <n v="165"/>
    <n v="0.78"/>
    <n v="280"/>
    <n v="1.43"/>
    <x v="2"/>
  </r>
  <r>
    <x v="0"/>
    <s v="熊本県"/>
    <x v="0"/>
    <x v="6"/>
    <n v="10645"/>
    <n v="25.72"/>
    <n v="4953"/>
    <n v="23.33"/>
    <n v="5656"/>
    <n v="28.87"/>
    <x v="3"/>
  </r>
  <r>
    <x v="0"/>
    <s v="熊本県"/>
    <x v="0"/>
    <x v="7"/>
    <n v="341"/>
    <n v="0.82"/>
    <n v="61"/>
    <n v="0.28999999999999998"/>
    <n v="280"/>
    <n v="1.43"/>
    <x v="0"/>
  </r>
  <r>
    <x v="0"/>
    <s v="熊本県"/>
    <x v="0"/>
    <x v="8"/>
    <n v="3551"/>
    <n v="8.58"/>
    <n v="1150"/>
    <n v="5.42"/>
    <n v="2385"/>
    <n v="12.17"/>
    <x v="4"/>
  </r>
  <r>
    <x v="0"/>
    <s v="熊本県"/>
    <x v="0"/>
    <x v="9"/>
    <n v="2370"/>
    <n v="5.73"/>
    <n v="1138"/>
    <n v="5.36"/>
    <n v="1211"/>
    <n v="6.18"/>
    <x v="1"/>
  </r>
  <r>
    <x v="0"/>
    <s v="熊本県"/>
    <x v="0"/>
    <x v="10"/>
    <n v="4822"/>
    <n v="11.65"/>
    <n v="3862"/>
    <n v="18.190000000000001"/>
    <n v="928"/>
    <n v="4.74"/>
    <x v="5"/>
  </r>
  <r>
    <x v="0"/>
    <s v="熊本県"/>
    <x v="0"/>
    <x v="11"/>
    <n v="5344"/>
    <n v="12.91"/>
    <n v="4292"/>
    <n v="20.21"/>
    <n v="999"/>
    <n v="5.0999999999999996"/>
    <x v="5"/>
  </r>
  <r>
    <x v="0"/>
    <s v="熊本県"/>
    <x v="0"/>
    <x v="12"/>
    <n v="1304"/>
    <n v="3.15"/>
    <n v="911"/>
    <n v="4.29"/>
    <n v="290"/>
    <n v="1.48"/>
    <x v="4"/>
  </r>
  <r>
    <x v="0"/>
    <s v="熊本県"/>
    <x v="0"/>
    <x v="13"/>
    <n v="1944"/>
    <n v="4.7"/>
    <n v="1098"/>
    <n v="5.17"/>
    <n v="763"/>
    <n v="3.89"/>
    <x v="6"/>
  </r>
  <r>
    <x v="0"/>
    <s v="熊本県"/>
    <x v="0"/>
    <x v="14"/>
    <n v="1828"/>
    <n v="4.42"/>
    <n v="770"/>
    <n v="3.63"/>
    <n v="880"/>
    <n v="4.49"/>
    <x v="7"/>
  </r>
  <r>
    <x v="0"/>
    <s v="熊本市"/>
    <x v="1"/>
    <x v="0"/>
    <n v="3"/>
    <n v="0.02"/>
    <n v="0"/>
    <n v="0"/>
    <n v="3"/>
    <n v="0.03"/>
    <x v="0"/>
  </r>
  <r>
    <x v="0"/>
    <s v="熊本市"/>
    <x v="1"/>
    <x v="1"/>
    <n v="2134"/>
    <n v="12.86"/>
    <n v="366"/>
    <n v="5.23"/>
    <n v="1768"/>
    <n v="18.7"/>
    <x v="0"/>
  </r>
  <r>
    <x v="0"/>
    <s v="熊本市"/>
    <x v="1"/>
    <x v="2"/>
    <n v="718"/>
    <n v="4.33"/>
    <n v="202"/>
    <n v="2.89"/>
    <n v="516"/>
    <n v="5.46"/>
    <x v="0"/>
  </r>
  <r>
    <x v="0"/>
    <s v="熊本市"/>
    <x v="1"/>
    <x v="3"/>
    <n v="52"/>
    <n v="0.31"/>
    <n v="0"/>
    <n v="0"/>
    <n v="52"/>
    <n v="0.55000000000000004"/>
    <x v="0"/>
  </r>
  <r>
    <x v="0"/>
    <s v="熊本市"/>
    <x v="1"/>
    <x v="4"/>
    <n v="175"/>
    <n v="1.05"/>
    <n v="7"/>
    <n v="0.1"/>
    <n v="168"/>
    <n v="1.78"/>
    <x v="0"/>
  </r>
  <r>
    <x v="0"/>
    <s v="熊本市"/>
    <x v="1"/>
    <x v="5"/>
    <n v="150"/>
    <n v="0.9"/>
    <n v="81"/>
    <n v="1.1599999999999999"/>
    <n v="69"/>
    <n v="0.73"/>
    <x v="0"/>
  </r>
  <r>
    <x v="0"/>
    <s v="熊本市"/>
    <x v="1"/>
    <x v="6"/>
    <n v="3894"/>
    <n v="23.46"/>
    <n v="1367"/>
    <n v="19.53"/>
    <n v="2525"/>
    <n v="26.7"/>
    <x v="8"/>
  </r>
  <r>
    <x v="0"/>
    <s v="熊本市"/>
    <x v="1"/>
    <x v="7"/>
    <n v="179"/>
    <n v="1.08"/>
    <n v="25"/>
    <n v="0.36"/>
    <n v="154"/>
    <n v="1.63"/>
    <x v="0"/>
  </r>
  <r>
    <x v="0"/>
    <s v="熊本市"/>
    <x v="1"/>
    <x v="8"/>
    <n v="2102"/>
    <n v="12.67"/>
    <n v="429"/>
    <n v="6.13"/>
    <n v="1665"/>
    <n v="17.61"/>
    <x v="1"/>
  </r>
  <r>
    <x v="0"/>
    <s v="熊本市"/>
    <x v="1"/>
    <x v="9"/>
    <n v="1332"/>
    <n v="8.0299999999999994"/>
    <n v="573"/>
    <n v="8.19"/>
    <n v="755"/>
    <n v="7.98"/>
    <x v="9"/>
  </r>
  <r>
    <x v="0"/>
    <s v="熊本市"/>
    <x v="1"/>
    <x v="10"/>
    <n v="1823"/>
    <n v="10.99"/>
    <n v="1378"/>
    <n v="19.690000000000001"/>
    <n v="443"/>
    <n v="4.68"/>
    <x v="0"/>
  </r>
  <r>
    <x v="0"/>
    <s v="熊本市"/>
    <x v="1"/>
    <x v="11"/>
    <n v="2027"/>
    <n v="12.21"/>
    <n v="1543"/>
    <n v="22.04"/>
    <n v="455"/>
    <n v="4.8099999999999996"/>
    <x v="8"/>
  </r>
  <r>
    <x v="0"/>
    <s v="熊本市"/>
    <x v="1"/>
    <x v="12"/>
    <n v="572"/>
    <n v="3.45"/>
    <n v="391"/>
    <n v="5.59"/>
    <n v="168"/>
    <n v="1.78"/>
    <x v="8"/>
  </r>
  <r>
    <x v="0"/>
    <s v="熊本市"/>
    <x v="1"/>
    <x v="13"/>
    <n v="749"/>
    <n v="4.51"/>
    <n v="437"/>
    <n v="6.24"/>
    <n v="275"/>
    <n v="2.91"/>
    <x v="0"/>
  </r>
  <r>
    <x v="0"/>
    <s v="熊本市"/>
    <x v="1"/>
    <x v="14"/>
    <n v="685"/>
    <n v="4.13"/>
    <n v="201"/>
    <n v="2.87"/>
    <n v="440"/>
    <n v="4.6500000000000004"/>
    <x v="10"/>
  </r>
  <r>
    <x v="0"/>
    <s v="熊本市中央区"/>
    <x v="2"/>
    <x v="0"/>
    <n v="0"/>
    <n v="0"/>
    <n v="0"/>
    <n v="0"/>
    <n v="0"/>
    <n v="0"/>
    <x v="0"/>
  </r>
  <r>
    <x v="0"/>
    <s v="熊本市中央区"/>
    <x v="2"/>
    <x v="1"/>
    <n v="390"/>
    <n v="6.17"/>
    <n v="33"/>
    <n v="1.2"/>
    <n v="357"/>
    <n v="10.119999999999999"/>
    <x v="0"/>
  </r>
  <r>
    <x v="0"/>
    <s v="熊本市中央区"/>
    <x v="2"/>
    <x v="2"/>
    <n v="169"/>
    <n v="2.68"/>
    <n v="44"/>
    <n v="1.59"/>
    <n v="125"/>
    <n v="3.55"/>
    <x v="0"/>
  </r>
  <r>
    <x v="0"/>
    <s v="熊本市中央区"/>
    <x v="2"/>
    <x v="3"/>
    <n v="12"/>
    <n v="0.19"/>
    <n v="0"/>
    <n v="0"/>
    <n v="12"/>
    <n v="0.34"/>
    <x v="0"/>
  </r>
  <r>
    <x v="0"/>
    <s v="熊本市中央区"/>
    <x v="2"/>
    <x v="4"/>
    <n v="91"/>
    <n v="1.44"/>
    <n v="3"/>
    <n v="0.11"/>
    <n v="88"/>
    <n v="2.5"/>
    <x v="0"/>
  </r>
  <r>
    <x v="0"/>
    <s v="熊本市中央区"/>
    <x v="2"/>
    <x v="5"/>
    <n v="29"/>
    <n v="0.46"/>
    <n v="13"/>
    <n v="0.47"/>
    <n v="16"/>
    <n v="0.45"/>
    <x v="0"/>
  </r>
  <r>
    <x v="0"/>
    <s v="熊本市中央区"/>
    <x v="2"/>
    <x v="6"/>
    <n v="1462"/>
    <n v="23.15"/>
    <n v="478"/>
    <n v="17.32"/>
    <n v="984"/>
    <n v="27.91"/>
    <x v="0"/>
  </r>
  <r>
    <x v="0"/>
    <s v="熊本市中央区"/>
    <x v="2"/>
    <x v="7"/>
    <n v="75"/>
    <n v="1.19"/>
    <n v="4"/>
    <n v="0.14000000000000001"/>
    <n v="71"/>
    <n v="2.0099999999999998"/>
    <x v="0"/>
  </r>
  <r>
    <x v="0"/>
    <s v="熊本市中央区"/>
    <x v="2"/>
    <x v="8"/>
    <n v="953"/>
    <n v="15.09"/>
    <n v="185"/>
    <n v="6.7"/>
    <n v="766"/>
    <n v="21.72"/>
    <x v="8"/>
  </r>
  <r>
    <x v="0"/>
    <s v="熊本市中央区"/>
    <x v="2"/>
    <x v="9"/>
    <n v="591"/>
    <n v="9.36"/>
    <n v="254"/>
    <n v="9.1999999999999993"/>
    <n v="335"/>
    <n v="9.5"/>
    <x v="9"/>
  </r>
  <r>
    <x v="0"/>
    <s v="熊本市中央区"/>
    <x v="2"/>
    <x v="10"/>
    <n v="1185"/>
    <n v="18.760000000000002"/>
    <n v="903"/>
    <n v="32.72"/>
    <n v="282"/>
    <n v="8"/>
    <x v="0"/>
  </r>
  <r>
    <x v="0"/>
    <s v="熊本市中央区"/>
    <x v="2"/>
    <x v="11"/>
    <n v="717"/>
    <n v="11.35"/>
    <n v="526"/>
    <n v="19.059999999999999"/>
    <n v="183"/>
    <n v="5.19"/>
    <x v="8"/>
  </r>
  <r>
    <x v="0"/>
    <s v="熊本市中央区"/>
    <x v="2"/>
    <x v="12"/>
    <n v="202"/>
    <n v="3.2"/>
    <n v="128"/>
    <n v="4.6399999999999997"/>
    <n v="70"/>
    <n v="1.99"/>
    <x v="9"/>
  </r>
  <r>
    <x v="0"/>
    <s v="熊本市中央区"/>
    <x v="2"/>
    <x v="13"/>
    <n v="241"/>
    <n v="3.82"/>
    <n v="152"/>
    <n v="5.51"/>
    <n v="84"/>
    <n v="2.38"/>
    <x v="0"/>
  </r>
  <r>
    <x v="0"/>
    <s v="熊本市中央区"/>
    <x v="2"/>
    <x v="14"/>
    <n v="199"/>
    <n v="3.15"/>
    <n v="37"/>
    <n v="1.34"/>
    <n v="153"/>
    <n v="4.34"/>
    <x v="11"/>
  </r>
  <r>
    <x v="0"/>
    <s v="熊本市東区"/>
    <x v="3"/>
    <x v="0"/>
    <n v="0"/>
    <n v="0"/>
    <n v="0"/>
    <n v="0"/>
    <n v="0"/>
    <n v="0"/>
    <x v="0"/>
  </r>
  <r>
    <x v="0"/>
    <s v="熊本市東区"/>
    <x v="3"/>
    <x v="1"/>
    <n v="700"/>
    <n v="17.91"/>
    <n v="109"/>
    <n v="6.85"/>
    <n v="591"/>
    <n v="25.68"/>
    <x v="0"/>
  </r>
  <r>
    <x v="0"/>
    <s v="熊本市東区"/>
    <x v="3"/>
    <x v="2"/>
    <n v="165"/>
    <n v="4.22"/>
    <n v="51"/>
    <n v="3.2"/>
    <n v="114"/>
    <n v="4.95"/>
    <x v="0"/>
  </r>
  <r>
    <x v="0"/>
    <s v="熊本市東区"/>
    <x v="3"/>
    <x v="3"/>
    <n v="6"/>
    <n v="0.15"/>
    <n v="0"/>
    <n v="0"/>
    <n v="6"/>
    <n v="0.26"/>
    <x v="0"/>
  </r>
  <r>
    <x v="0"/>
    <s v="熊本市東区"/>
    <x v="3"/>
    <x v="4"/>
    <n v="30"/>
    <n v="0.77"/>
    <n v="2"/>
    <n v="0.13"/>
    <n v="28"/>
    <n v="1.22"/>
    <x v="0"/>
  </r>
  <r>
    <x v="0"/>
    <s v="熊本市東区"/>
    <x v="3"/>
    <x v="5"/>
    <n v="50"/>
    <n v="1.28"/>
    <n v="32"/>
    <n v="2.0099999999999998"/>
    <n v="18"/>
    <n v="0.78"/>
    <x v="0"/>
  </r>
  <r>
    <x v="0"/>
    <s v="熊本市東区"/>
    <x v="3"/>
    <x v="6"/>
    <n v="867"/>
    <n v="22.19"/>
    <n v="321"/>
    <n v="20.16"/>
    <n v="546"/>
    <n v="23.73"/>
    <x v="0"/>
  </r>
  <r>
    <x v="0"/>
    <s v="熊本市東区"/>
    <x v="3"/>
    <x v="7"/>
    <n v="33"/>
    <n v="0.84"/>
    <n v="4"/>
    <n v="0.25"/>
    <n v="29"/>
    <n v="1.26"/>
    <x v="0"/>
  </r>
  <r>
    <x v="0"/>
    <s v="熊本市東区"/>
    <x v="3"/>
    <x v="8"/>
    <n v="473"/>
    <n v="12.1"/>
    <n v="69"/>
    <n v="4.33"/>
    <n v="403"/>
    <n v="17.510000000000002"/>
    <x v="0"/>
  </r>
  <r>
    <x v="0"/>
    <s v="熊本市東区"/>
    <x v="3"/>
    <x v="9"/>
    <n v="349"/>
    <n v="8.93"/>
    <n v="140"/>
    <n v="8.7899999999999991"/>
    <n v="209"/>
    <n v="9.08"/>
    <x v="0"/>
  </r>
  <r>
    <x v="0"/>
    <s v="熊本市東区"/>
    <x v="3"/>
    <x v="10"/>
    <n v="258"/>
    <n v="6.6"/>
    <n v="203"/>
    <n v="12.75"/>
    <n v="54"/>
    <n v="2.35"/>
    <x v="0"/>
  </r>
  <r>
    <x v="0"/>
    <s v="熊本市東区"/>
    <x v="3"/>
    <x v="11"/>
    <n v="492"/>
    <n v="12.59"/>
    <n v="381"/>
    <n v="23.93"/>
    <n v="111"/>
    <n v="4.82"/>
    <x v="0"/>
  </r>
  <r>
    <x v="0"/>
    <s v="熊本市東区"/>
    <x v="3"/>
    <x v="12"/>
    <n v="143"/>
    <n v="3.66"/>
    <n v="107"/>
    <n v="6.72"/>
    <n v="35"/>
    <n v="1.52"/>
    <x v="0"/>
  </r>
  <r>
    <x v="0"/>
    <s v="熊本市東区"/>
    <x v="3"/>
    <x v="13"/>
    <n v="183"/>
    <n v="4.68"/>
    <n v="121"/>
    <n v="7.6"/>
    <n v="58"/>
    <n v="2.52"/>
    <x v="0"/>
  </r>
  <r>
    <x v="0"/>
    <s v="熊本市東区"/>
    <x v="3"/>
    <x v="14"/>
    <n v="159"/>
    <n v="4.07"/>
    <n v="52"/>
    <n v="3.27"/>
    <n v="99"/>
    <n v="4.3"/>
    <x v="2"/>
  </r>
  <r>
    <x v="0"/>
    <s v="熊本市西区"/>
    <x v="4"/>
    <x v="0"/>
    <n v="0"/>
    <n v="0"/>
    <n v="0"/>
    <n v="0"/>
    <n v="0"/>
    <n v="0"/>
    <x v="0"/>
  </r>
  <r>
    <x v="0"/>
    <s v="熊本市西区"/>
    <x v="4"/>
    <x v="1"/>
    <n v="188"/>
    <n v="12.2"/>
    <n v="42"/>
    <n v="6.6"/>
    <n v="146"/>
    <n v="16.690000000000001"/>
    <x v="0"/>
  </r>
  <r>
    <x v="0"/>
    <s v="熊本市西区"/>
    <x v="4"/>
    <x v="2"/>
    <n v="92"/>
    <n v="5.97"/>
    <n v="26"/>
    <n v="4.09"/>
    <n v="66"/>
    <n v="7.54"/>
    <x v="0"/>
  </r>
  <r>
    <x v="0"/>
    <s v="熊本市西区"/>
    <x v="4"/>
    <x v="3"/>
    <n v="5"/>
    <n v="0.32"/>
    <n v="0"/>
    <n v="0"/>
    <n v="5"/>
    <n v="0.56999999999999995"/>
    <x v="0"/>
  </r>
  <r>
    <x v="0"/>
    <s v="熊本市西区"/>
    <x v="4"/>
    <x v="4"/>
    <n v="17"/>
    <n v="1.1000000000000001"/>
    <n v="0"/>
    <n v="0"/>
    <n v="17"/>
    <n v="1.94"/>
    <x v="0"/>
  </r>
  <r>
    <x v="0"/>
    <s v="熊本市西区"/>
    <x v="4"/>
    <x v="5"/>
    <n v="18"/>
    <n v="1.17"/>
    <n v="9"/>
    <n v="1.42"/>
    <n v="9"/>
    <n v="1.03"/>
    <x v="0"/>
  </r>
  <r>
    <x v="0"/>
    <s v="熊本市西区"/>
    <x v="4"/>
    <x v="6"/>
    <n v="472"/>
    <n v="30.63"/>
    <n v="171"/>
    <n v="26.89"/>
    <n v="301"/>
    <n v="34.4"/>
    <x v="0"/>
  </r>
  <r>
    <x v="0"/>
    <s v="熊本市西区"/>
    <x v="4"/>
    <x v="7"/>
    <n v="16"/>
    <n v="1.04"/>
    <n v="3"/>
    <n v="0.47"/>
    <n v="13"/>
    <n v="1.49"/>
    <x v="0"/>
  </r>
  <r>
    <x v="0"/>
    <s v="熊本市西区"/>
    <x v="4"/>
    <x v="8"/>
    <n v="151"/>
    <n v="9.8000000000000007"/>
    <n v="42"/>
    <n v="6.6"/>
    <n v="107"/>
    <n v="12.23"/>
    <x v="8"/>
  </r>
  <r>
    <x v="0"/>
    <s v="熊本市西区"/>
    <x v="4"/>
    <x v="9"/>
    <n v="86"/>
    <n v="5.58"/>
    <n v="35"/>
    <n v="5.5"/>
    <n v="51"/>
    <n v="5.83"/>
    <x v="0"/>
  </r>
  <r>
    <x v="0"/>
    <s v="熊本市西区"/>
    <x v="4"/>
    <x v="10"/>
    <n v="110"/>
    <n v="7.14"/>
    <n v="74"/>
    <n v="11.64"/>
    <n v="36"/>
    <n v="4.1100000000000003"/>
    <x v="0"/>
  </r>
  <r>
    <x v="0"/>
    <s v="熊本市西区"/>
    <x v="4"/>
    <x v="11"/>
    <n v="198"/>
    <n v="12.85"/>
    <n v="157"/>
    <n v="24.69"/>
    <n v="39"/>
    <n v="4.46"/>
    <x v="0"/>
  </r>
  <r>
    <x v="0"/>
    <s v="熊本市西区"/>
    <x v="4"/>
    <x v="12"/>
    <n v="38"/>
    <n v="2.4700000000000002"/>
    <n v="25"/>
    <n v="3.93"/>
    <n v="11"/>
    <n v="1.26"/>
    <x v="0"/>
  </r>
  <r>
    <x v="0"/>
    <s v="熊本市西区"/>
    <x v="4"/>
    <x v="13"/>
    <n v="82"/>
    <n v="5.32"/>
    <n v="39"/>
    <n v="6.13"/>
    <n v="30"/>
    <n v="3.43"/>
    <x v="0"/>
  </r>
  <r>
    <x v="0"/>
    <s v="熊本市西区"/>
    <x v="4"/>
    <x v="14"/>
    <n v="68"/>
    <n v="4.41"/>
    <n v="13"/>
    <n v="2.04"/>
    <n v="44"/>
    <n v="5.03"/>
    <x v="11"/>
  </r>
  <r>
    <x v="0"/>
    <s v="熊本市南区"/>
    <x v="5"/>
    <x v="0"/>
    <n v="3"/>
    <n v="0.12"/>
    <n v="0"/>
    <n v="0"/>
    <n v="3"/>
    <n v="0.21"/>
    <x v="0"/>
  </r>
  <r>
    <x v="0"/>
    <s v="熊本市南区"/>
    <x v="5"/>
    <x v="1"/>
    <n v="443"/>
    <n v="18.059999999999999"/>
    <n v="100"/>
    <n v="10.050000000000001"/>
    <n v="343"/>
    <n v="23.99"/>
    <x v="0"/>
  </r>
  <r>
    <x v="0"/>
    <s v="熊本市南区"/>
    <x v="5"/>
    <x v="2"/>
    <n v="164"/>
    <n v="6.69"/>
    <n v="47"/>
    <n v="4.72"/>
    <n v="117"/>
    <n v="8.18"/>
    <x v="0"/>
  </r>
  <r>
    <x v="0"/>
    <s v="熊本市南区"/>
    <x v="5"/>
    <x v="3"/>
    <n v="17"/>
    <n v="0.69"/>
    <n v="0"/>
    <n v="0"/>
    <n v="17"/>
    <n v="1.19"/>
    <x v="0"/>
  </r>
  <r>
    <x v="0"/>
    <s v="熊本市南区"/>
    <x v="5"/>
    <x v="4"/>
    <n v="17"/>
    <n v="0.69"/>
    <n v="1"/>
    <n v="0.1"/>
    <n v="16"/>
    <n v="1.1200000000000001"/>
    <x v="0"/>
  </r>
  <r>
    <x v="0"/>
    <s v="熊本市南区"/>
    <x v="5"/>
    <x v="5"/>
    <n v="29"/>
    <n v="1.18"/>
    <n v="14"/>
    <n v="1.41"/>
    <n v="15"/>
    <n v="1.05"/>
    <x v="0"/>
  </r>
  <r>
    <x v="0"/>
    <s v="熊本市南区"/>
    <x v="5"/>
    <x v="6"/>
    <n v="584"/>
    <n v="23.81"/>
    <n v="203"/>
    <n v="20.399999999999999"/>
    <n v="379"/>
    <n v="26.5"/>
    <x v="8"/>
  </r>
  <r>
    <x v="0"/>
    <s v="熊本市南区"/>
    <x v="5"/>
    <x v="7"/>
    <n v="23"/>
    <n v="0.94"/>
    <n v="6"/>
    <n v="0.6"/>
    <n v="17"/>
    <n v="1.19"/>
    <x v="0"/>
  </r>
  <r>
    <x v="0"/>
    <s v="熊本市南区"/>
    <x v="5"/>
    <x v="8"/>
    <n v="251"/>
    <n v="10.23"/>
    <n v="60"/>
    <n v="6.03"/>
    <n v="190"/>
    <n v="13.29"/>
    <x v="9"/>
  </r>
  <r>
    <x v="0"/>
    <s v="熊本市南区"/>
    <x v="5"/>
    <x v="9"/>
    <n v="151"/>
    <n v="6.16"/>
    <n v="67"/>
    <n v="6.73"/>
    <n v="82"/>
    <n v="5.73"/>
    <x v="0"/>
  </r>
  <r>
    <x v="0"/>
    <s v="熊本市南区"/>
    <x v="5"/>
    <x v="10"/>
    <n v="120"/>
    <n v="4.8899999999999997"/>
    <n v="85"/>
    <n v="8.5399999999999991"/>
    <n v="34"/>
    <n v="2.38"/>
    <x v="0"/>
  </r>
  <r>
    <x v="0"/>
    <s v="熊本市南区"/>
    <x v="5"/>
    <x v="11"/>
    <n v="303"/>
    <n v="12.35"/>
    <n v="238"/>
    <n v="23.92"/>
    <n v="59"/>
    <n v="4.13"/>
    <x v="0"/>
  </r>
  <r>
    <x v="0"/>
    <s v="熊本市南区"/>
    <x v="5"/>
    <x v="12"/>
    <n v="91"/>
    <n v="3.71"/>
    <n v="60"/>
    <n v="6.03"/>
    <n v="30"/>
    <n v="2.1"/>
    <x v="0"/>
  </r>
  <r>
    <x v="0"/>
    <s v="熊本市南区"/>
    <x v="5"/>
    <x v="13"/>
    <n v="118"/>
    <n v="4.8099999999999996"/>
    <n v="59"/>
    <n v="5.93"/>
    <n v="50"/>
    <n v="3.5"/>
    <x v="0"/>
  </r>
  <r>
    <x v="0"/>
    <s v="熊本市南区"/>
    <x v="5"/>
    <x v="14"/>
    <n v="139"/>
    <n v="5.67"/>
    <n v="55"/>
    <n v="5.53"/>
    <n v="78"/>
    <n v="5.45"/>
    <x v="1"/>
  </r>
  <r>
    <x v="0"/>
    <s v="熊本市北区"/>
    <x v="6"/>
    <x v="0"/>
    <n v="0"/>
    <n v="0"/>
    <n v="0"/>
    <n v="0"/>
    <n v="0"/>
    <n v="0"/>
    <x v="0"/>
  </r>
  <r>
    <x v="0"/>
    <s v="熊本市北区"/>
    <x v="6"/>
    <x v="1"/>
    <n v="413"/>
    <n v="17.37"/>
    <n v="82"/>
    <n v="8.06"/>
    <n v="331"/>
    <n v="25"/>
    <x v="0"/>
  </r>
  <r>
    <x v="0"/>
    <s v="熊本市北区"/>
    <x v="6"/>
    <x v="2"/>
    <n v="128"/>
    <n v="5.38"/>
    <n v="34"/>
    <n v="3.34"/>
    <n v="94"/>
    <n v="7.1"/>
    <x v="0"/>
  </r>
  <r>
    <x v="0"/>
    <s v="熊本市北区"/>
    <x v="6"/>
    <x v="3"/>
    <n v="12"/>
    <n v="0.5"/>
    <n v="0"/>
    <n v="0"/>
    <n v="12"/>
    <n v="0.91"/>
    <x v="0"/>
  </r>
  <r>
    <x v="0"/>
    <s v="熊本市北区"/>
    <x v="6"/>
    <x v="4"/>
    <n v="20"/>
    <n v="0.84"/>
    <n v="1"/>
    <n v="0.1"/>
    <n v="19"/>
    <n v="1.44"/>
    <x v="0"/>
  </r>
  <r>
    <x v="0"/>
    <s v="熊本市北区"/>
    <x v="6"/>
    <x v="5"/>
    <n v="24"/>
    <n v="1.01"/>
    <n v="13"/>
    <n v="1.28"/>
    <n v="11"/>
    <n v="0.83"/>
    <x v="0"/>
  </r>
  <r>
    <x v="0"/>
    <s v="熊本市北区"/>
    <x v="6"/>
    <x v="6"/>
    <n v="509"/>
    <n v="21.41"/>
    <n v="194"/>
    <n v="19.079999999999998"/>
    <n v="315"/>
    <n v="23.79"/>
    <x v="0"/>
  </r>
  <r>
    <x v="0"/>
    <s v="熊本市北区"/>
    <x v="6"/>
    <x v="7"/>
    <n v="32"/>
    <n v="1.35"/>
    <n v="8"/>
    <n v="0.79"/>
    <n v="24"/>
    <n v="1.81"/>
    <x v="0"/>
  </r>
  <r>
    <x v="0"/>
    <s v="熊本市北区"/>
    <x v="6"/>
    <x v="8"/>
    <n v="274"/>
    <n v="11.53"/>
    <n v="73"/>
    <n v="7.18"/>
    <n v="199"/>
    <n v="15.03"/>
    <x v="9"/>
  </r>
  <r>
    <x v="0"/>
    <s v="熊本市北区"/>
    <x v="6"/>
    <x v="9"/>
    <n v="155"/>
    <n v="6.52"/>
    <n v="77"/>
    <n v="7.57"/>
    <n v="78"/>
    <n v="5.89"/>
    <x v="0"/>
  </r>
  <r>
    <x v="0"/>
    <s v="熊本市北区"/>
    <x v="6"/>
    <x v="10"/>
    <n v="150"/>
    <n v="6.31"/>
    <n v="113"/>
    <n v="11.11"/>
    <n v="37"/>
    <n v="2.79"/>
    <x v="0"/>
  </r>
  <r>
    <x v="0"/>
    <s v="熊本市北区"/>
    <x v="6"/>
    <x v="11"/>
    <n v="317"/>
    <n v="13.34"/>
    <n v="241"/>
    <n v="23.7"/>
    <n v="63"/>
    <n v="4.76"/>
    <x v="0"/>
  </r>
  <r>
    <x v="0"/>
    <s v="熊本市北区"/>
    <x v="6"/>
    <x v="12"/>
    <n v="98"/>
    <n v="4.12"/>
    <n v="71"/>
    <n v="6.98"/>
    <n v="22"/>
    <n v="1.66"/>
    <x v="9"/>
  </r>
  <r>
    <x v="0"/>
    <s v="熊本市北区"/>
    <x v="6"/>
    <x v="13"/>
    <n v="125"/>
    <n v="5.26"/>
    <n v="66"/>
    <n v="6.49"/>
    <n v="53"/>
    <n v="4"/>
    <x v="0"/>
  </r>
  <r>
    <x v="0"/>
    <s v="熊本市北区"/>
    <x v="6"/>
    <x v="14"/>
    <n v="120"/>
    <n v="5.05"/>
    <n v="44"/>
    <n v="4.33"/>
    <n v="66"/>
    <n v="4.9800000000000004"/>
    <x v="11"/>
  </r>
  <r>
    <x v="0"/>
    <s v="八代市"/>
    <x v="7"/>
    <x v="0"/>
    <n v="1"/>
    <n v="0.03"/>
    <n v="1"/>
    <n v="0.05"/>
    <n v="0"/>
    <n v="0"/>
    <x v="0"/>
  </r>
  <r>
    <x v="0"/>
    <s v="八代市"/>
    <x v="7"/>
    <x v="1"/>
    <n v="431"/>
    <n v="13.08"/>
    <n v="169"/>
    <n v="9.18"/>
    <n v="262"/>
    <n v="18.73"/>
    <x v="0"/>
  </r>
  <r>
    <x v="0"/>
    <s v="八代市"/>
    <x v="7"/>
    <x v="2"/>
    <n v="212"/>
    <n v="6.44"/>
    <n v="85"/>
    <n v="4.62"/>
    <n v="127"/>
    <n v="9.08"/>
    <x v="0"/>
  </r>
  <r>
    <x v="0"/>
    <s v="八代市"/>
    <x v="7"/>
    <x v="3"/>
    <n v="14"/>
    <n v="0.43"/>
    <n v="0"/>
    <n v="0"/>
    <n v="13"/>
    <n v="0.93"/>
    <x v="0"/>
  </r>
  <r>
    <x v="0"/>
    <s v="八代市"/>
    <x v="7"/>
    <x v="4"/>
    <n v="14"/>
    <n v="0.43"/>
    <n v="1"/>
    <n v="0.05"/>
    <n v="13"/>
    <n v="0.93"/>
    <x v="0"/>
  </r>
  <r>
    <x v="0"/>
    <s v="八代市"/>
    <x v="7"/>
    <x v="5"/>
    <n v="29"/>
    <n v="0.88"/>
    <n v="2"/>
    <n v="0.11"/>
    <n v="27"/>
    <n v="1.93"/>
    <x v="0"/>
  </r>
  <r>
    <x v="0"/>
    <s v="八代市"/>
    <x v="7"/>
    <x v="6"/>
    <n v="882"/>
    <n v="26.78"/>
    <n v="403"/>
    <n v="21.9"/>
    <n v="461"/>
    <n v="32.950000000000003"/>
    <x v="12"/>
  </r>
  <r>
    <x v="0"/>
    <s v="八代市"/>
    <x v="7"/>
    <x v="7"/>
    <n v="27"/>
    <n v="0.82"/>
    <n v="3"/>
    <n v="0.16"/>
    <n v="24"/>
    <n v="1.72"/>
    <x v="0"/>
  </r>
  <r>
    <x v="0"/>
    <s v="八代市"/>
    <x v="7"/>
    <x v="8"/>
    <n v="282"/>
    <n v="8.56"/>
    <n v="171"/>
    <n v="9.2899999999999991"/>
    <n v="111"/>
    <n v="7.93"/>
    <x v="0"/>
  </r>
  <r>
    <x v="0"/>
    <s v="八代市"/>
    <x v="7"/>
    <x v="9"/>
    <n v="174"/>
    <n v="5.28"/>
    <n v="95"/>
    <n v="5.16"/>
    <n v="75"/>
    <n v="5.36"/>
    <x v="13"/>
  </r>
  <r>
    <x v="0"/>
    <s v="八代市"/>
    <x v="7"/>
    <x v="10"/>
    <n v="392"/>
    <n v="11.9"/>
    <n v="337"/>
    <n v="18.32"/>
    <n v="54"/>
    <n v="3.86"/>
    <x v="9"/>
  </r>
  <r>
    <x v="0"/>
    <s v="八代市"/>
    <x v="7"/>
    <x v="11"/>
    <n v="411"/>
    <n v="12.48"/>
    <n v="338"/>
    <n v="18.37"/>
    <n v="73"/>
    <n v="5.22"/>
    <x v="0"/>
  </r>
  <r>
    <x v="0"/>
    <s v="八代市"/>
    <x v="7"/>
    <x v="12"/>
    <n v="98"/>
    <n v="2.98"/>
    <n v="78"/>
    <n v="4.24"/>
    <n v="18"/>
    <n v="1.29"/>
    <x v="0"/>
  </r>
  <r>
    <x v="0"/>
    <s v="八代市"/>
    <x v="7"/>
    <x v="13"/>
    <n v="186"/>
    <n v="5.65"/>
    <n v="98"/>
    <n v="5.33"/>
    <n v="88"/>
    <n v="6.29"/>
    <x v="0"/>
  </r>
  <r>
    <x v="0"/>
    <s v="八代市"/>
    <x v="7"/>
    <x v="14"/>
    <n v="141"/>
    <n v="4.28"/>
    <n v="59"/>
    <n v="3.21"/>
    <n v="53"/>
    <n v="3.79"/>
    <x v="14"/>
  </r>
  <r>
    <x v="0"/>
    <s v="人吉市"/>
    <x v="8"/>
    <x v="0"/>
    <n v="0"/>
    <n v="0"/>
    <n v="0"/>
    <n v="0"/>
    <n v="0"/>
    <n v="0"/>
    <x v="0"/>
  </r>
  <r>
    <x v="0"/>
    <s v="人吉市"/>
    <x v="8"/>
    <x v="1"/>
    <n v="107"/>
    <n v="9.3800000000000008"/>
    <n v="47"/>
    <n v="6.65"/>
    <n v="60"/>
    <n v="14.18"/>
    <x v="0"/>
  </r>
  <r>
    <x v="0"/>
    <s v="人吉市"/>
    <x v="8"/>
    <x v="2"/>
    <n v="58"/>
    <n v="5.08"/>
    <n v="28"/>
    <n v="3.96"/>
    <n v="30"/>
    <n v="7.09"/>
    <x v="0"/>
  </r>
  <r>
    <x v="0"/>
    <s v="人吉市"/>
    <x v="8"/>
    <x v="3"/>
    <n v="0"/>
    <n v="0"/>
    <n v="0"/>
    <n v="0"/>
    <n v="0"/>
    <n v="0"/>
    <x v="0"/>
  </r>
  <r>
    <x v="0"/>
    <s v="人吉市"/>
    <x v="8"/>
    <x v="4"/>
    <n v="10"/>
    <n v="0.88"/>
    <n v="4"/>
    <n v="0.56999999999999995"/>
    <n v="6"/>
    <n v="1.42"/>
    <x v="0"/>
  </r>
  <r>
    <x v="0"/>
    <s v="人吉市"/>
    <x v="8"/>
    <x v="5"/>
    <n v="7"/>
    <n v="0.61"/>
    <n v="1"/>
    <n v="0.14000000000000001"/>
    <n v="6"/>
    <n v="1.42"/>
    <x v="0"/>
  </r>
  <r>
    <x v="0"/>
    <s v="人吉市"/>
    <x v="8"/>
    <x v="6"/>
    <n v="276"/>
    <n v="24.19"/>
    <n v="138"/>
    <n v="19.52"/>
    <n v="137"/>
    <n v="32.39"/>
    <x v="9"/>
  </r>
  <r>
    <x v="0"/>
    <s v="人吉市"/>
    <x v="8"/>
    <x v="7"/>
    <n v="17"/>
    <n v="1.49"/>
    <n v="3"/>
    <n v="0.42"/>
    <n v="14"/>
    <n v="3.31"/>
    <x v="0"/>
  </r>
  <r>
    <x v="0"/>
    <s v="人吉市"/>
    <x v="8"/>
    <x v="8"/>
    <n v="94"/>
    <n v="8.24"/>
    <n v="52"/>
    <n v="7.36"/>
    <n v="41"/>
    <n v="9.69"/>
    <x v="0"/>
  </r>
  <r>
    <x v="0"/>
    <s v="人吉市"/>
    <x v="8"/>
    <x v="9"/>
    <n v="56"/>
    <n v="4.91"/>
    <n v="30"/>
    <n v="4.24"/>
    <n v="25"/>
    <n v="5.91"/>
    <x v="0"/>
  </r>
  <r>
    <x v="0"/>
    <s v="人吉市"/>
    <x v="8"/>
    <x v="10"/>
    <n v="223"/>
    <n v="19.54"/>
    <n v="192"/>
    <n v="27.16"/>
    <n v="30"/>
    <n v="7.09"/>
    <x v="0"/>
  </r>
  <r>
    <x v="0"/>
    <s v="人吉市"/>
    <x v="8"/>
    <x v="11"/>
    <n v="171"/>
    <n v="14.99"/>
    <n v="137"/>
    <n v="19.38"/>
    <n v="33"/>
    <n v="7.8"/>
    <x v="0"/>
  </r>
  <r>
    <x v="0"/>
    <s v="人吉市"/>
    <x v="8"/>
    <x v="12"/>
    <n v="43"/>
    <n v="3.77"/>
    <n v="33"/>
    <n v="4.67"/>
    <n v="5"/>
    <n v="1.18"/>
    <x v="0"/>
  </r>
  <r>
    <x v="0"/>
    <s v="人吉市"/>
    <x v="8"/>
    <x v="13"/>
    <n v="45"/>
    <n v="3.94"/>
    <n v="30"/>
    <n v="4.24"/>
    <n v="15"/>
    <n v="3.55"/>
    <x v="0"/>
  </r>
  <r>
    <x v="0"/>
    <s v="人吉市"/>
    <x v="8"/>
    <x v="14"/>
    <n v="34"/>
    <n v="2.98"/>
    <n v="12"/>
    <n v="1.7"/>
    <n v="21"/>
    <n v="4.96"/>
    <x v="0"/>
  </r>
  <r>
    <x v="0"/>
    <s v="荒尾市"/>
    <x v="9"/>
    <x v="0"/>
    <n v="0"/>
    <n v="0"/>
    <n v="0"/>
    <n v="0"/>
    <n v="0"/>
    <n v="0"/>
    <x v="0"/>
  </r>
  <r>
    <x v="0"/>
    <s v="荒尾市"/>
    <x v="9"/>
    <x v="1"/>
    <n v="126"/>
    <n v="13.68"/>
    <n v="35"/>
    <n v="6.93"/>
    <n v="91"/>
    <n v="22.47"/>
    <x v="0"/>
  </r>
  <r>
    <x v="0"/>
    <s v="荒尾市"/>
    <x v="9"/>
    <x v="2"/>
    <n v="47"/>
    <n v="5.0999999999999996"/>
    <n v="15"/>
    <n v="2.97"/>
    <n v="31"/>
    <n v="7.65"/>
    <x v="9"/>
  </r>
  <r>
    <x v="0"/>
    <s v="荒尾市"/>
    <x v="9"/>
    <x v="3"/>
    <n v="3"/>
    <n v="0.33"/>
    <n v="0"/>
    <n v="0"/>
    <n v="3"/>
    <n v="0.74"/>
    <x v="0"/>
  </r>
  <r>
    <x v="0"/>
    <s v="荒尾市"/>
    <x v="9"/>
    <x v="4"/>
    <n v="2"/>
    <n v="0.22"/>
    <n v="0"/>
    <n v="0"/>
    <n v="2"/>
    <n v="0.49"/>
    <x v="0"/>
  </r>
  <r>
    <x v="0"/>
    <s v="荒尾市"/>
    <x v="9"/>
    <x v="5"/>
    <n v="9"/>
    <n v="0.98"/>
    <n v="6"/>
    <n v="1.19"/>
    <n v="3"/>
    <n v="0.74"/>
    <x v="0"/>
  </r>
  <r>
    <x v="0"/>
    <s v="荒尾市"/>
    <x v="9"/>
    <x v="6"/>
    <n v="252"/>
    <n v="27.36"/>
    <n v="128"/>
    <n v="25.35"/>
    <n v="123"/>
    <n v="30.37"/>
    <x v="9"/>
  </r>
  <r>
    <x v="0"/>
    <s v="荒尾市"/>
    <x v="9"/>
    <x v="7"/>
    <n v="5"/>
    <n v="0.54"/>
    <n v="1"/>
    <n v="0.2"/>
    <n v="4"/>
    <n v="0.99"/>
    <x v="0"/>
  </r>
  <r>
    <x v="0"/>
    <s v="荒尾市"/>
    <x v="9"/>
    <x v="8"/>
    <n v="57"/>
    <n v="6.19"/>
    <n v="20"/>
    <n v="3.96"/>
    <n v="37"/>
    <n v="9.14"/>
    <x v="0"/>
  </r>
  <r>
    <x v="0"/>
    <s v="荒尾市"/>
    <x v="9"/>
    <x v="9"/>
    <n v="30"/>
    <n v="3.26"/>
    <n v="17"/>
    <n v="3.37"/>
    <n v="12"/>
    <n v="2.96"/>
    <x v="9"/>
  </r>
  <r>
    <x v="0"/>
    <s v="荒尾市"/>
    <x v="9"/>
    <x v="10"/>
    <n v="88"/>
    <n v="9.5500000000000007"/>
    <n v="65"/>
    <n v="12.87"/>
    <n v="22"/>
    <n v="5.43"/>
    <x v="0"/>
  </r>
  <r>
    <x v="0"/>
    <s v="荒尾市"/>
    <x v="9"/>
    <x v="11"/>
    <n v="180"/>
    <n v="19.54"/>
    <n v="143"/>
    <n v="28.32"/>
    <n v="37"/>
    <n v="9.14"/>
    <x v="0"/>
  </r>
  <r>
    <x v="0"/>
    <s v="荒尾市"/>
    <x v="9"/>
    <x v="12"/>
    <n v="34"/>
    <n v="3.69"/>
    <n v="23"/>
    <n v="4.55"/>
    <n v="8"/>
    <n v="1.98"/>
    <x v="0"/>
  </r>
  <r>
    <x v="0"/>
    <s v="荒尾市"/>
    <x v="9"/>
    <x v="13"/>
    <n v="55"/>
    <n v="5.97"/>
    <n v="31"/>
    <n v="6.14"/>
    <n v="21"/>
    <n v="5.19"/>
    <x v="0"/>
  </r>
  <r>
    <x v="0"/>
    <s v="荒尾市"/>
    <x v="9"/>
    <x v="14"/>
    <n v="33"/>
    <n v="3.58"/>
    <n v="21"/>
    <n v="4.16"/>
    <n v="11"/>
    <n v="2.72"/>
    <x v="0"/>
  </r>
  <r>
    <x v="0"/>
    <s v="水俣市"/>
    <x v="10"/>
    <x v="0"/>
    <n v="0"/>
    <n v="0"/>
    <n v="0"/>
    <n v="0"/>
    <n v="0"/>
    <n v="0"/>
    <x v="0"/>
  </r>
  <r>
    <x v="0"/>
    <s v="水俣市"/>
    <x v="10"/>
    <x v="1"/>
    <n v="76"/>
    <n v="10.43"/>
    <n v="31"/>
    <n v="6.78"/>
    <n v="45"/>
    <n v="16.920000000000002"/>
    <x v="0"/>
  </r>
  <r>
    <x v="0"/>
    <s v="水俣市"/>
    <x v="10"/>
    <x v="2"/>
    <n v="36"/>
    <n v="4.9400000000000004"/>
    <n v="15"/>
    <n v="3.28"/>
    <n v="21"/>
    <n v="7.89"/>
    <x v="0"/>
  </r>
  <r>
    <x v="0"/>
    <s v="水俣市"/>
    <x v="10"/>
    <x v="3"/>
    <n v="0"/>
    <n v="0"/>
    <n v="0"/>
    <n v="0"/>
    <n v="0"/>
    <n v="0"/>
    <x v="0"/>
  </r>
  <r>
    <x v="0"/>
    <s v="水俣市"/>
    <x v="10"/>
    <x v="4"/>
    <n v="7"/>
    <n v="0.96"/>
    <n v="0"/>
    <n v="0"/>
    <n v="7"/>
    <n v="2.63"/>
    <x v="0"/>
  </r>
  <r>
    <x v="0"/>
    <s v="水俣市"/>
    <x v="10"/>
    <x v="5"/>
    <n v="7"/>
    <n v="0.96"/>
    <n v="2"/>
    <n v="0.44"/>
    <n v="4"/>
    <n v="1.5"/>
    <x v="0"/>
  </r>
  <r>
    <x v="0"/>
    <s v="水俣市"/>
    <x v="10"/>
    <x v="6"/>
    <n v="182"/>
    <n v="24.97"/>
    <n v="92"/>
    <n v="20.13"/>
    <n v="89"/>
    <n v="33.46"/>
    <x v="9"/>
  </r>
  <r>
    <x v="0"/>
    <s v="水俣市"/>
    <x v="10"/>
    <x v="7"/>
    <n v="8"/>
    <n v="1.1000000000000001"/>
    <n v="2"/>
    <n v="0.44"/>
    <n v="6"/>
    <n v="2.2599999999999998"/>
    <x v="0"/>
  </r>
  <r>
    <x v="0"/>
    <s v="水俣市"/>
    <x v="10"/>
    <x v="8"/>
    <n v="100"/>
    <n v="13.72"/>
    <n v="77"/>
    <n v="16.850000000000001"/>
    <n v="23"/>
    <n v="8.65"/>
    <x v="0"/>
  </r>
  <r>
    <x v="0"/>
    <s v="水俣市"/>
    <x v="10"/>
    <x v="9"/>
    <n v="30"/>
    <n v="4.12"/>
    <n v="17"/>
    <n v="3.72"/>
    <n v="13"/>
    <n v="4.8899999999999997"/>
    <x v="0"/>
  </r>
  <r>
    <x v="0"/>
    <s v="水俣市"/>
    <x v="10"/>
    <x v="10"/>
    <n v="107"/>
    <n v="14.68"/>
    <n v="91"/>
    <n v="19.91"/>
    <n v="16"/>
    <n v="6.02"/>
    <x v="0"/>
  </r>
  <r>
    <x v="0"/>
    <s v="水俣市"/>
    <x v="10"/>
    <x v="11"/>
    <n v="90"/>
    <n v="12.35"/>
    <n v="78"/>
    <n v="17.07"/>
    <n v="12"/>
    <n v="4.51"/>
    <x v="0"/>
  </r>
  <r>
    <x v="0"/>
    <s v="水俣市"/>
    <x v="10"/>
    <x v="12"/>
    <n v="16"/>
    <n v="2.19"/>
    <n v="13"/>
    <n v="2.84"/>
    <n v="2"/>
    <n v="0.75"/>
    <x v="0"/>
  </r>
  <r>
    <x v="0"/>
    <s v="水俣市"/>
    <x v="10"/>
    <x v="13"/>
    <n v="35"/>
    <n v="4.8"/>
    <n v="22"/>
    <n v="4.8099999999999996"/>
    <n v="13"/>
    <n v="4.8899999999999997"/>
    <x v="0"/>
  </r>
  <r>
    <x v="0"/>
    <s v="水俣市"/>
    <x v="10"/>
    <x v="14"/>
    <n v="35"/>
    <n v="4.8"/>
    <n v="17"/>
    <n v="3.72"/>
    <n v="15"/>
    <n v="5.64"/>
    <x v="9"/>
  </r>
  <r>
    <x v="0"/>
    <s v="玉名市"/>
    <x v="11"/>
    <x v="0"/>
    <n v="0"/>
    <n v="0"/>
    <n v="0"/>
    <n v="0"/>
    <n v="0"/>
    <n v="0"/>
    <x v="0"/>
  </r>
  <r>
    <x v="0"/>
    <s v="玉名市"/>
    <x v="11"/>
    <x v="1"/>
    <n v="187"/>
    <n v="14.21"/>
    <n v="65"/>
    <n v="8.76"/>
    <n v="122"/>
    <n v="21.67"/>
    <x v="0"/>
  </r>
  <r>
    <x v="0"/>
    <s v="玉名市"/>
    <x v="11"/>
    <x v="2"/>
    <n v="79"/>
    <n v="6"/>
    <n v="29"/>
    <n v="3.91"/>
    <n v="49"/>
    <n v="8.6999999999999993"/>
    <x v="9"/>
  </r>
  <r>
    <x v="0"/>
    <s v="玉名市"/>
    <x v="11"/>
    <x v="3"/>
    <n v="8"/>
    <n v="0.61"/>
    <n v="0"/>
    <n v="0"/>
    <n v="8"/>
    <n v="1.42"/>
    <x v="0"/>
  </r>
  <r>
    <x v="0"/>
    <s v="玉名市"/>
    <x v="11"/>
    <x v="4"/>
    <n v="7"/>
    <n v="0.53"/>
    <n v="0"/>
    <n v="0"/>
    <n v="7"/>
    <n v="1.24"/>
    <x v="0"/>
  </r>
  <r>
    <x v="0"/>
    <s v="玉名市"/>
    <x v="11"/>
    <x v="5"/>
    <n v="14"/>
    <n v="1.06"/>
    <n v="1"/>
    <n v="0.13"/>
    <n v="13"/>
    <n v="2.31"/>
    <x v="0"/>
  </r>
  <r>
    <x v="0"/>
    <s v="玉名市"/>
    <x v="11"/>
    <x v="6"/>
    <n v="384"/>
    <n v="29.18"/>
    <n v="219"/>
    <n v="29.51"/>
    <n v="165"/>
    <n v="29.31"/>
    <x v="0"/>
  </r>
  <r>
    <x v="0"/>
    <s v="玉名市"/>
    <x v="11"/>
    <x v="7"/>
    <n v="15"/>
    <n v="1.1399999999999999"/>
    <n v="7"/>
    <n v="0.94"/>
    <n v="8"/>
    <n v="1.42"/>
    <x v="0"/>
  </r>
  <r>
    <x v="0"/>
    <s v="玉名市"/>
    <x v="11"/>
    <x v="8"/>
    <n v="72"/>
    <n v="5.47"/>
    <n v="32"/>
    <n v="4.3099999999999996"/>
    <n v="40"/>
    <n v="7.1"/>
    <x v="0"/>
  </r>
  <r>
    <x v="0"/>
    <s v="玉名市"/>
    <x v="11"/>
    <x v="9"/>
    <n v="63"/>
    <n v="4.79"/>
    <n v="31"/>
    <n v="4.18"/>
    <n v="31"/>
    <n v="5.51"/>
    <x v="0"/>
  </r>
  <r>
    <x v="0"/>
    <s v="玉名市"/>
    <x v="11"/>
    <x v="10"/>
    <n v="148"/>
    <n v="11.25"/>
    <n v="117"/>
    <n v="15.77"/>
    <n v="28"/>
    <n v="4.97"/>
    <x v="0"/>
  </r>
  <r>
    <x v="0"/>
    <s v="玉名市"/>
    <x v="11"/>
    <x v="11"/>
    <n v="191"/>
    <n v="14.51"/>
    <n v="158"/>
    <n v="21.29"/>
    <n v="33"/>
    <n v="5.86"/>
    <x v="0"/>
  </r>
  <r>
    <x v="0"/>
    <s v="玉名市"/>
    <x v="11"/>
    <x v="12"/>
    <n v="29"/>
    <n v="2.2000000000000002"/>
    <n v="19"/>
    <n v="2.56"/>
    <n v="6"/>
    <n v="1.07"/>
    <x v="0"/>
  </r>
  <r>
    <x v="0"/>
    <s v="玉名市"/>
    <x v="11"/>
    <x v="13"/>
    <n v="50"/>
    <n v="3.8"/>
    <n v="26"/>
    <n v="3.5"/>
    <n v="24"/>
    <n v="4.26"/>
    <x v="0"/>
  </r>
  <r>
    <x v="0"/>
    <s v="玉名市"/>
    <x v="11"/>
    <x v="14"/>
    <n v="69"/>
    <n v="5.24"/>
    <n v="38"/>
    <n v="5.12"/>
    <n v="29"/>
    <n v="5.15"/>
    <x v="9"/>
  </r>
  <r>
    <x v="0"/>
    <s v="山鹿市"/>
    <x v="12"/>
    <x v="0"/>
    <n v="0"/>
    <n v="0"/>
    <n v="0"/>
    <n v="0"/>
    <n v="0"/>
    <n v="0"/>
    <x v="0"/>
  </r>
  <r>
    <x v="0"/>
    <s v="山鹿市"/>
    <x v="12"/>
    <x v="1"/>
    <n v="167"/>
    <n v="13.53"/>
    <n v="59"/>
    <n v="7.7"/>
    <n v="108"/>
    <n v="24.94"/>
    <x v="0"/>
  </r>
  <r>
    <x v="0"/>
    <s v="山鹿市"/>
    <x v="12"/>
    <x v="2"/>
    <n v="85"/>
    <n v="6.89"/>
    <n v="38"/>
    <n v="4.96"/>
    <n v="47"/>
    <n v="10.85"/>
    <x v="0"/>
  </r>
  <r>
    <x v="0"/>
    <s v="山鹿市"/>
    <x v="12"/>
    <x v="3"/>
    <n v="0"/>
    <n v="0"/>
    <n v="0"/>
    <n v="0"/>
    <n v="0"/>
    <n v="0"/>
    <x v="0"/>
  </r>
  <r>
    <x v="0"/>
    <s v="山鹿市"/>
    <x v="12"/>
    <x v="4"/>
    <n v="3"/>
    <n v="0.24"/>
    <n v="1"/>
    <n v="0.13"/>
    <n v="2"/>
    <n v="0.46"/>
    <x v="0"/>
  </r>
  <r>
    <x v="0"/>
    <s v="山鹿市"/>
    <x v="12"/>
    <x v="5"/>
    <n v="14"/>
    <n v="1.1299999999999999"/>
    <n v="4"/>
    <n v="0.52"/>
    <n v="9"/>
    <n v="2.08"/>
    <x v="9"/>
  </r>
  <r>
    <x v="0"/>
    <s v="山鹿市"/>
    <x v="12"/>
    <x v="6"/>
    <n v="339"/>
    <n v="27.47"/>
    <n v="200"/>
    <n v="26.11"/>
    <n v="139"/>
    <n v="32.1"/>
    <x v="0"/>
  </r>
  <r>
    <x v="0"/>
    <s v="山鹿市"/>
    <x v="12"/>
    <x v="7"/>
    <n v="0"/>
    <n v="0"/>
    <n v="0"/>
    <n v="0"/>
    <n v="0"/>
    <n v="0"/>
    <x v="0"/>
  </r>
  <r>
    <x v="0"/>
    <s v="山鹿市"/>
    <x v="12"/>
    <x v="8"/>
    <n v="41"/>
    <n v="3.32"/>
    <n v="20"/>
    <n v="2.61"/>
    <n v="20"/>
    <n v="4.62"/>
    <x v="0"/>
  </r>
  <r>
    <x v="0"/>
    <s v="山鹿市"/>
    <x v="12"/>
    <x v="9"/>
    <n v="46"/>
    <n v="3.73"/>
    <n v="24"/>
    <n v="3.13"/>
    <n v="19"/>
    <n v="4.3899999999999997"/>
    <x v="0"/>
  </r>
  <r>
    <x v="0"/>
    <s v="山鹿市"/>
    <x v="12"/>
    <x v="10"/>
    <n v="201"/>
    <n v="16.29"/>
    <n v="176"/>
    <n v="22.98"/>
    <n v="23"/>
    <n v="5.31"/>
    <x v="0"/>
  </r>
  <r>
    <x v="0"/>
    <s v="山鹿市"/>
    <x v="12"/>
    <x v="11"/>
    <n v="182"/>
    <n v="14.75"/>
    <n v="155"/>
    <n v="20.23"/>
    <n v="27"/>
    <n v="6.24"/>
    <x v="0"/>
  </r>
  <r>
    <x v="0"/>
    <s v="山鹿市"/>
    <x v="12"/>
    <x v="12"/>
    <n v="27"/>
    <n v="2.19"/>
    <n v="10"/>
    <n v="1.31"/>
    <n v="4"/>
    <n v="0.92"/>
    <x v="0"/>
  </r>
  <r>
    <x v="0"/>
    <s v="山鹿市"/>
    <x v="12"/>
    <x v="13"/>
    <n v="67"/>
    <n v="5.43"/>
    <n v="37"/>
    <n v="4.83"/>
    <n v="18"/>
    <n v="4.16"/>
    <x v="0"/>
  </r>
  <r>
    <x v="0"/>
    <s v="山鹿市"/>
    <x v="12"/>
    <x v="14"/>
    <n v="62"/>
    <n v="5.0199999999999996"/>
    <n v="42"/>
    <n v="5.48"/>
    <n v="17"/>
    <n v="3.93"/>
    <x v="9"/>
  </r>
  <r>
    <x v="0"/>
    <s v="菊池市"/>
    <x v="13"/>
    <x v="0"/>
    <n v="0"/>
    <n v="0"/>
    <n v="0"/>
    <n v="0"/>
    <n v="0"/>
    <n v="0"/>
    <x v="0"/>
  </r>
  <r>
    <x v="0"/>
    <s v="菊池市"/>
    <x v="13"/>
    <x v="1"/>
    <n v="187"/>
    <n v="17.48"/>
    <n v="65"/>
    <n v="11.27"/>
    <n v="122"/>
    <n v="25.42"/>
    <x v="0"/>
  </r>
  <r>
    <x v="0"/>
    <s v="菊池市"/>
    <x v="13"/>
    <x v="2"/>
    <n v="100"/>
    <n v="9.35"/>
    <n v="30"/>
    <n v="5.2"/>
    <n v="70"/>
    <n v="14.58"/>
    <x v="0"/>
  </r>
  <r>
    <x v="0"/>
    <s v="菊池市"/>
    <x v="13"/>
    <x v="3"/>
    <n v="0"/>
    <n v="0"/>
    <n v="0"/>
    <n v="0"/>
    <n v="0"/>
    <n v="0"/>
    <x v="0"/>
  </r>
  <r>
    <x v="0"/>
    <s v="菊池市"/>
    <x v="13"/>
    <x v="4"/>
    <n v="4"/>
    <n v="0.37"/>
    <n v="1"/>
    <n v="0.17"/>
    <n v="3"/>
    <n v="0.63"/>
    <x v="0"/>
  </r>
  <r>
    <x v="0"/>
    <s v="菊池市"/>
    <x v="13"/>
    <x v="5"/>
    <n v="11"/>
    <n v="1.03"/>
    <n v="1"/>
    <n v="0.17"/>
    <n v="10"/>
    <n v="2.08"/>
    <x v="0"/>
  </r>
  <r>
    <x v="0"/>
    <s v="菊池市"/>
    <x v="13"/>
    <x v="6"/>
    <n v="262"/>
    <n v="24.49"/>
    <n v="129"/>
    <n v="22.36"/>
    <n v="132"/>
    <n v="27.5"/>
    <x v="9"/>
  </r>
  <r>
    <x v="0"/>
    <s v="菊池市"/>
    <x v="13"/>
    <x v="7"/>
    <n v="7"/>
    <n v="0.65"/>
    <n v="2"/>
    <n v="0.35"/>
    <n v="5"/>
    <n v="1.04"/>
    <x v="0"/>
  </r>
  <r>
    <x v="0"/>
    <s v="菊池市"/>
    <x v="13"/>
    <x v="8"/>
    <n v="43"/>
    <n v="4.0199999999999996"/>
    <n v="17"/>
    <n v="2.95"/>
    <n v="25"/>
    <n v="5.21"/>
    <x v="0"/>
  </r>
  <r>
    <x v="0"/>
    <s v="菊池市"/>
    <x v="13"/>
    <x v="9"/>
    <n v="41"/>
    <n v="3.83"/>
    <n v="26"/>
    <n v="4.51"/>
    <n v="15"/>
    <n v="3.13"/>
    <x v="0"/>
  </r>
  <r>
    <x v="0"/>
    <s v="菊池市"/>
    <x v="13"/>
    <x v="10"/>
    <n v="145"/>
    <n v="13.55"/>
    <n v="121"/>
    <n v="20.97"/>
    <n v="24"/>
    <n v="5"/>
    <x v="0"/>
  </r>
  <r>
    <x v="0"/>
    <s v="菊池市"/>
    <x v="13"/>
    <x v="11"/>
    <n v="135"/>
    <n v="12.62"/>
    <n v="112"/>
    <n v="19.41"/>
    <n v="21"/>
    <n v="4.38"/>
    <x v="0"/>
  </r>
  <r>
    <x v="0"/>
    <s v="菊池市"/>
    <x v="13"/>
    <x v="12"/>
    <n v="32"/>
    <n v="2.99"/>
    <n v="22"/>
    <n v="3.81"/>
    <n v="5"/>
    <n v="1.04"/>
    <x v="9"/>
  </r>
  <r>
    <x v="0"/>
    <s v="菊池市"/>
    <x v="13"/>
    <x v="13"/>
    <n v="58"/>
    <n v="5.42"/>
    <n v="24"/>
    <n v="4.16"/>
    <n v="34"/>
    <n v="7.08"/>
    <x v="0"/>
  </r>
  <r>
    <x v="0"/>
    <s v="菊池市"/>
    <x v="13"/>
    <x v="14"/>
    <n v="45"/>
    <n v="4.21"/>
    <n v="27"/>
    <n v="4.68"/>
    <n v="14"/>
    <n v="2.92"/>
    <x v="9"/>
  </r>
  <r>
    <x v="0"/>
    <s v="宇土市"/>
    <x v="14"/>
    <x v="0"/>
    <n v="0"/>
    <n v="0"/>
    <n v="0"/>
    <n v="0"/>
    <n v="0"/>
    <n v="0"/>
    <x v="0"/>
  </r>
  <r>
    <x v="0"/>
    <s v="宇土市"/>
    <x v="14"/>
    <x v="1"/>
    <n v="143"/>
    <n v="18.72"/>
    <n v="49"/>
    <n v="12.66"/>
    <n v="94"/>
    <n v="25.2"/>
    <x v="0"/>
  </r>
  <r>
    <x v="0"/>
    <s v="宇土市"/>
    <x v="14"/>
    <x v="2"/>
    <n v="56"/>
    <n v="7.33"/>
    <n v="15"/>
    <n v="3.88"/>
    <n v="41"/>
    <n v="10.99"/>
    <x v="0"/>
  </r>
  <r>
    <x v="0"/>
    <s v="宇土市"/>
    <x v="14"/>
    <x v="3"/>
    <n v="5"/>
    <n v="0.65"/>
    <n v="0"/>
    <n v="0"/>
    <n v="4"/>
    <n v="1.07"/>
    <x v="0"/>
  </r>
  <r>
    <x v="0"/>
    <s v="宇土市"/>
    <x v="14"/>
    <x v="4"/>
    <n v="3"/>
    <n v="0.39"/>
    <n v="1"/>
    <n v="0.26"/>
    <n v="2"/>
    <n v="0.54"/>
    <x v="0"/>
  </r>
  <r>
    <x v="0"/>
    <s v="宇土市"/>
    <x v="14"/>
    <x v="5"/>
    <n v="10"/>
    <n v="1.31"/>
    <n v="3"/>
    <n v="0.78"/>
    <n v="7"/>
    <n v="1.88"/>
    <x v="0"/>
  </r>
  <r>
    <x v="0"/>
    <s v="宇土市"/>
    <x v="14"/>
    <x v="6"/>
    <n v="189"/>
    <n v="24.74"/>
    <n v="80"/>
    <n v="20.67"/>
    <n v="109"/>
    <n v="29.22"/>
    <x v="0"/>
  </r>
  <r>
    <x v="0"/>
    <s v="宇土市"/>
    <x v="14"/>
    <x v="7"/>
    <n v="6"/>
    <n v="0.79"/>
    <n v="1"/>
    <n v="0.26"/>
    <n v="5"/>
    <n v="1.34"/>
    <x v="0"/>
  </r>
  <r>
    <x v="0"/>
    <s v="宇土市"/>
    <x v="14"/>
    <x v="8"/>
    <n v="32"/>
    <n v="4.1900000000000004"/>
    <n v="10"/>
    <n v="2.58"/>
    <n v="22"/>
    <n v="5.9"/>
    <x v="0"/>
  </r>
  <r>
    <x v="0"/>
    <s v="宇土市"/>
    <x v="14"/>
    <x v="9"/>
    <n v="38"/>
    <n v="4.97"/>
    <n v="22"/>
    <n v="5.68"/>
    <n v="16"/>
    <n v="4.29"/>
    <x v="0"/>
  </r>
  <r>
    <x v="0"/>
    <s v="宇土市"/>
    <x v="14"/>
    <x v="10"/>
    <n v="69"/>
    <n v="9.0299999999999994"/>
    <n v="59"/>
    <n v="15.25"/>
    <n v="9"/>
    <n v="2.41"/>
    <x v="0"/>
  </r>
  <r>
    <x v="0"/>
    <s v="宇土市"/>
    <x v="14"/>
    <x v="11"/>
    <n v="115"/>
    <n v="15.05"/>
    <n v="93"/>
    <n v="24.03"/>
    <n v="22"/>
    <n v="5.9"/>
    <x v="0"/>
  </r>
  <r>
    <x v="0"/>
    <s v="宇土市"/>
    <x v="14"/>
    <x v="12"/>
    <n v="24"/>
    <n v="3.14"/>
    <n v="17"/>
    <n v="4.3899999999999997"/>
    <n v="7"/>
    <n v="1.88"/>
    <x v="0"/>
  </r>
  <r>
    <x v="0"/>
    <s v="宇土市"/>
    <x v="14"/>
    <x v="13"/>
    <n v="48"/>
    <n v="6.28"/>
    <n v="24"/>
    <n v="6.2"/>
    <n v="24"/>
    <n v="6.43"/>
    <x v="0"/>
  </r>
  <r>
    <x v="0"/>
    <s v="宇土市"/>
    <x v="14"/>
    <x v="14"/>
    <n v="26"/>
    <n v="3.4"/>
    <n v="13"/>
    <n v="3.36"/>
    <n v="11"/>
    <n v="2.95"/>
    <x v="9"/>
  </r>
  <r>
    <x v="0"/>
    <s v="上天草市"/>
    <x v="15"/>
    <x v="0"/>
    <n v="0"/>
    <n v="0"/>
    <n v="0"/>
    <n v="0"/>
    <n v="0"/>
    <n v="0"/>
    <x v="0"/>
  </r>
  <r>
    <x v="0"/>
    <s v="上天草市"/>
    <x v="15"/>
    <x v="1"/>
    <n v="160"/>
    <n v="17.3"/>
    <n v="102"/>
    <n v="16.010000000000002"/>
    <n v="58"/>
    <n v="21.09"/>
    <x v="0"/>
  </r>
  <r>
    <x v="0"/>
    <s v="上天草市"/>
    <x v="15"/>
    <x v="2"/>
    <n v="66"/>
    <n v="7.14"/>
    <n v="35"/>
    <n v="5.49"/>
    <n v="31"/>
    <n v="11.27"/>
    <x v="0"/>
  </r>
  <r>
    <x v="0"/>
    <s v="上天草市"/>
    <x v="15"/>
    <x v="3"/>
    <n v="2"/>
    <n v="0.22"/>
    <n v="0"/>
    <n v="0"/>
    <n v="1"/>
    <n v="0.36"/>
    <x v="0"/>
  </r>
  <r>
    <x v="0"/>
    <s v="上天草市"/>
    <x v="15"/>
    <x v="4"/>
    <n v="2"/>
    <n v="0.22"/>
    <n v="1"/>
    <n v="0.16"/>
    <n v="1"/>
    <n v="0.36"/>
    <x v="0"/>
  </r>
  <r>
    <x v="0"/>
    <s v="上天草市"/>
    <x v="15"/>
    <x v="5"/>
    <n v="26"/>
    <n v="2.81"/>
    <n v="8"/>
    <n v="1.26"/>
    <n v="18"/>
    <n v="6.55"/>
    <x v="0"/>
  </r>
  <r>
    <x v="0"/>
    <s v="上天草市"/>
    <x v="15"/>
    <x v="6"/>
    <n v="258"/>
    <n v="27.89"/>
    <n v="176"/>
    <n v="27.63"/>
    <n v="82"/>
    <n v="29.82"/>
    <x v="0"/>
  </r>
  <r>
    <x v="0"/>
    <s v="上天草市"/>
    <x v="15"/>
    <x v="7"/>
    <n v="2"/>
    <n v="0.22"/>
    <n v="1"/>
    <n v="0.16"/>
    <n v="1"/>
    <n v="0.36"/>
    <x v="0"/>
  </r>
  <r>
    <x v="0"/>
    <s v="上天草市"/>
    <x v="15"/>
    <x v="8"/>
    <n v="86"/>
    <n v="9.3000000000000007"/>
    <n v="66"/>
    <n v="10.36"/>
    <n v="20"/>
    <n v="7.27"/>
    <x v="0"/>
  </r>
  <r>
    <x v="0"/>
    <s v="上天草市"/>
    <x v="15"/>
    <x v="9"/>
    <n v="31"/>
    <n v="3.35"/>
    <n v="17"/>
    <n v="2.67"/>
    <n v="14"/>
    <n v="5.09"/>
    <x v="0"/>
  </r>
  <r>
    <x v="0"/>
    <s v="上天草市"/>
    <x v="15"/>
    <x v="10"/>
    <n v="84"/>
    <n v="9.08"/>
    <n v="69"/>
    <n v="10.83"/>
    <n v="10"/>
    <n v="3.64"/>
    <x v="0"/>
  </r>
  <r>
    <x v="0"/>
    <s v="上天草市"/>
    <x v="15"/>
    <x v="11"/>
    <n v="129"/>
    <n v="13.95"/>
    <n v="111"/>
    <n v="17.43"/>
    <n v="18"/>
    <n v="6.55"/>
    <x v="0"/>
  </r>
  <r>
    <x v="0"/>
    <s v="上天草市"/>
    <x v="15"/>
    <x v="12"/>
    <n v="17"/>
    <n v="1.84"/>
    <n v="12"/>
    <n v="1.88"/>
    <n v="0"/>
    <n v="0"/>
    <x v="0"/>
  </r>
  <r>
    <x v="0"/>
    <s v="上天草市"/>
    <x v="15"/>
    <x v="13"/>
    <n v="34"/>
    <n v="3.68"/>
    <n v="21"/>
    <n v="3.3"/>
    <n v="13"/>
    <n v="4.7300000000000004"/>
    <x v="0"/>
  </r>
  <r>
    <x v="0"/>
    <s v="上天草市"/>
    <x v="15"/>
    <x v="14"/>
    <n v="28"/>
    <n v="3.03"/>
    <n v="18"/>
    <n v="2.83"/>
    <n v="8"/>
    <n v="2.91"/>
    <x v="9"/>
  </r>
  <r>
    <x v="0"/>
    <s v="宇城市"/>
    <x v="16"/>
    <x v="0"/>
    <n v="0"/>
    <n v="0"/>
    <n v="0"/>
    <n v="0"/>
    <n v="0"/>
    <n v="0"/>
    <x v="0"/>
  </r>
  <r>
    <x v="0"/>
    <s v="宇城市"/>
    <x v="16"/>
    <x v="1"/>
    <n v="197"/>
    <n v="16.11"/>
    <n v="83"/>
    <n v="12.43"/>
    <n v="114"/>
    <n v="21.19"/>
    <x v="0"/>
  </r>
  <r>
    <x v="0"/>
    <s v="宇城市"/>
    <x v="16"/>
    <x v="2"/>
    <n v="67"/>
    <n v="5.48"/>
    <n v="20"/>
    <n v="2.99"/>
    <n v="47"/>
    <n v="8.74"/>
    <x v="0"/>
  </r>
  <r>
    <x v="0"/>
    <s v="宇城市"/>
    <x v="16"/>
    <x v="3"/>
    <n v="4"/>
    <n v="0.33"/>
    <n v="0"/>
    <n v="0"/>
    <n v="4"/>
    <n v="0.74"/>
    <x v="0"/>
  </r>
  <r>
    <x v="0"/>
    <s v="宇城市"/>
    <x v="16"/>
    <x v="4"/>
    <n v="6"/>
    <n v="0.49"/>
    <n v="0"/>
    <n v="0"/>
    <n v="6"/>
    <n v="1.1200000000000001"/>
    <x v="0"/>
  </r>
  <r>
    <x v="0"/>
    <s v="宇城市"/>
    <x v="16"/>
    <x v="5"/>
    <n v="21"/>
    <n v="1.72"/>
    <n v="5"/>
    <n v="0.75"/>
    <n v="16"/>
    <n v="2.97"/>
    <x v="0"/>
  </r>
  <r>
    <x v="0"/>
    <s v="宇城市"/>
    <x v="16"/>
    <x v="6"/>
    <n v="352"/>
    <n v="28.78"/>
    <n v="182"/>
    <n v="27.25"/>
    <n v="169"/>
    <n v="31.41"/>
    <x v="9"/>
  </r>
  <r>
    <x v="0"/>
    <s v="宇城市"/>
    <x v="16"/>
    <x v="7"/>
    <n v="8"/>
    <n v="0.65"/>
    <n v="1"/>
    <n v="0.15"/>
    <n v="7"/>
    <n v="1.3"/>
    <x v="0"/>
  </r>
  <r>
    <x v="0"/>
    <s v="宇城市"/>
    <x v="16"/>
    <x v="8"/>
    <n v="39"/>
    <n v="3.19"/>
    <n v="10"/>
    <n v="1.5"/>
    <n v="29"/>
    <n v="5.39"/>
    <x v="0"/>
  </r>
  <r>
    <x v="0"/>
    <s v="宇城市"/>
    <x v="16"/>
    <x v="9"/>
    <n v="60"/>
    <n v="4.91"/>
    <n v="25"/>
    <n v="3.74"/>
    <n v="35"/>
    <n v="6.51"/>
    <x v="0"/>
  </r>
  <r>
    <x v="0"/>
    <s v="宇城市"/>
    <x v="16"/>
    <x v="10"/>
    <n v="117"/>
    <n v="9.57"/>
    <n v="92"/>
    <n v="13.77"/>
    <n v="23"/>
    <n v="4.28"/>
    <x v="9"/>
  </r>
  <r>
    <x v="0"/>
    <s v="宇城市"/>
    <x v="16"/>
    <x v="11"/>
    <n v="174"/>
    <n v="14.23"/>
    <n v="140"/>
    <n v="20.96"/>
    <n v="33"/>
    <n v="6.13"/>
    <x v="0"/>
  </r>
  <r>
    <x v="0"/>
    <s v="宇城市"/>
    <x v="16"/>
    <x v="12"/>
    <n v="55"/>
    <n v="4.5"/>
    <n v="38"/>
    <n v="5.69"/>
    <n v="7"/>
    <n v="1.3"/>
    <x v="0"/>
  </r>
  <r>
    <x v="0"/>
    <s v="宇城市"/>
    <x v="16"/>
    <x v="13"/>
    <n v="65"/>
    <n v="5.31"/>
    <n v="40"/>
    <n v="5.99"/>
    <n v="22"/>
    <n v="4.09"/>
    <x v="9"/>
  </r>
  <r>
    <x v="0"/>
    <s v="宇城市"/>
    <x v="16"/>
    <x v="14"/>
    <n v="58"/>
    <n v="4.74"/>
    <n v="32"/>
    <n v="4.79"/>
    <n v="26"/>
    <n v="4.83"/>
    <x v="0"/>
  </r>
  <r>
    <x v="0"/>
    <s v="阿蘇市"/>
    <x v="17"/>
    <x v="0"/>
    <n v="2"/>
    <n v="0.27"/>
    <n v="0"/>
    <n v="0"/>
    <n v="2"/>
    <n v="0.65"/>
    <x v="0"/>
  </r>
  <r>
    <x v="0"/>
    <s v="阿蘇市"/>
    <x v="17"/>
    <x v="1"/>
    <n v="94"/>
    <n v="12.47"/>
    <n v="34"/>
    <n v="7.87"/>
    <n v="60"/>
    <n v="19.350000000000001"/>
    <x v="0"/>
  </r>
  <r>
    <x v="0"/>
    <s v="阿蘇市"/>
    <x v="17"/>
    <x v="2"/>
    <n v="51"/>
    <n v="6.76"/>
    <n v="20"/>
    <n v="4.63"/>
    <n v="31"/>
    <n v="10"/>
    <x v="0"/>
  </r>
  <r>
    <x v="0"/>
    <s v="阿蘇市"/>
    <x v="17"/>
    <x v="3"/>
    <n v="2"/>
    <n v="0.27"/>
    <n v="0"/>
    <n v="0"/>
    <n v="1"/>
    <n v="0.32"/>
    <x v="0"/>
  </r>
  <r>
    <x v="0"/>
    <s v="阿蘇市"/>
    <x v="17"/>
    <x v="4"/>
    <n v="4"/>
    <n v="0.53"/>
    <n v="0"/>
    <n v="0"/>
    <n v="4"/>
    <n v="1.29"/>
    <x v="0"/>
  </r>
  <r>
    <x v="0"/>
    <s v="阿蘇市"/>
    <x v="17"/>
    <x v="5"/>
    <n v="8"/>
    <n v="1.06"/>
    <n v="0"/>
    <n v="0"/>
    <n v="7"/>
    <n v="2.2599999999999998"/>
    <x v="9"/>
  </r>
  <r>
    <x v="0"/>
    <s v="阿蘇市"/>
    <x v="17"/>
    <x v="6"/>
    <n v="202"/>
    <n v="26.79"/>
    <n v="108"/>
    <n v="25"/>
    <n v="93"/>
    <n v="30"/>
    <x v="9"/>
  </r>
  <r>
    <x v="0"/>
    <s v="阿蘇市"/>
    <x v="17"/>
    <x v="7"/>
    <n v="4"/>
    <n v="0.53"/>
    <n v="1"/>
    <n v="0.23"/>
    <n v="3"/>
    <n v="0.97"/>
    <x v="0"/>
  </r>
  <r>
    <x v="0"/>
    <s v="阿蘇市"/>
    <x v="17"/>
    <x v="8"/>
    <n v="16"/>
    <n v="2.12"/>
    <n v="6"/>
    <n v="1.39"/>
    <n v="10"/>
    <n v="3.23"/>
    <x v="0"/>
  </r>
  <r>
    <x v="0"/>
    <s v="阿蘇市"/>
    <x v="17"/>
    <x v="9"/>
    <n v="40"/>
    <n v="5.31"/>
    <n v="22"/>
    <n v="5.09"/>
    <n v="18"/>
    <n v="5.81"/>
    <x v="0"/>
  </r>
  <r>
    <x v="0"/>
    <s v="阿蘇市"/>
    <x v="17"/>
    <x v="10"/>
    <n v="153"/>
    <n v="20.29"/>
    <n v="117"/>
    <n v="27.08"/>
    <n v="35"/>
    <n v="11.29"/>
    <x v="0"/>
  </r>
  <r>
    <x v="0"/>
    <s v="阿蘇市"/>
    <x v="17"/>
    <x v="11"/>
    <n v="92"/>
    <n v="12.2"/>
    <n v="70"/>
    <n v="16.2"/>
    <n v="20"/>
    <n v="6.45"/>
    <x v="0"/>
  </r>
  <r>
    <x v="0"/>
    <s v="阿蘇市"/>
    <x v="17"/>
    <x v="12"/>
    <n v="19"/>
    <n v="2.52"/>
    <n v="14"/>
    <n v="3.24"/>
    <n v="4"/>
    <n v="1.29"/>
    <x v="9"/>
  </r>
  <r>
    <x v="0"/>
    <s v="阿蘇市"/>
    <x v="17"/>
    <x v="13"/>
    <n v="27"/>
    <n v="3.58"/>
    <n v="22"/>
    <n v="5.09"/>
    <n v="2"/>
    <n v="0.65"/>
    <x v="0"/>
  </r>
  <r>
    <x v="0"/>
    <s v="阿蘇市"/>
    <x v="17"/>
    <x v="14"/>
    <n v="40"/>
    <n v="5.31"/>
    <n v="18"/>
    <n v="4.17"/>
    <n v="20"/>
    <n v="6.45"/>
    <x v="0"/>
  </r>
  <r>
    <x v="0"/>
    <s v="天草市"/>
    <x v="18"/>
    <x v="0"/>
    <n v="0"/>
    <n v="0"/>
    <n v="0"/>
    <n v="0"/>
    <n v="0"/>
    <n v="0"/>
    <x v="0"/>
  </r>
  <r>
    <x v="0"/>
    <s v="天草市"/>
    <x v="18"/>
    <x v="1"/>
    <n v="343"/>
    <n v="12.25"/>
    <n v="200"/>
    <n v="10.57"/>
    <n v="143"/>
    <n v="17.55"/>
    <x v="0"/>
  </r>
  <r>
    <x v="0"/>
    <s v="天草市"/>
    <x v="18"/>
    <x v="2"/>
    <n v="200"/>
    <n v="7.14"/>
    <n v="129"/>
    <n v="6.81"/>
    <n v="69"/>
    <n v="8.4700000000000006"/>
    <x v="8"/>
  </r>
  <r>
    <x v="0"/>
    <s v="天草市"/>
    <x v="18"/>
    <x v="3"/>
    <n v="5"/>
    <n v="0.18"/>
    <n v="0"/>
    <n v="0"/>
    <n v="5"/>
    <n v="0.61"/>
    <x v="0"/>
  </r>
  <r>
    <x v="0"/>
    <s v="天草市"/>
    <x v="18"/>
    <x v="4"/>
    <n v="11"/>
    <n v="0.39"/>
    <n v="3"/>
    <n v="0.16"/>
    <n v="8"/>
    <n v="0.98"/>
    <x v="0"/>
  </r>
  <r>
    <x v="0"/>
    <s v="天草市"/>
    <x v="18"/>
    <x v="5"/>
    <n v="45"/>
    <n v="1.61"/>
    <n v="24"/>
    <n v="1.27"/>
    <n v="19"/>
    <n v="2.33"/>
    <x v="8"/>
  </r>
  <r>
    <x v="0"/>
    <s v="天草市"/>
    <x v="18"/>
    <x v="6"/>
    <n v="859"/>
    <n v="30.68"/>
    <n v="555"/>
    <n v="29.32"/>
    <n v="300"/>
    <n v="36.81"/>
    <x v="6"/>
  </r>
  <r>
    <x v="0"/>
    <s v="天草市"/>
    <x v="18"/>
    <x v="7"/>
    <n v="20"/>
    <n v="0.71"/>
    <n v="5"/>
    <n v="0.26"/>
    <n v="15"/>
    <n v="1.84"/>
    <x v="0"/>
  </r>
  <r>
    <x v="0"/>
    <s v="天草市"/>
    <x v="18"/>
    <x v="8"/>
    <n v="163"/>
    <n v="5.82"/>
    <n v="92"/>
    <n v="4.8600000000000003"/>
    <n v="71"/>
    <n v="8.7100000000000009"/>
    <x v="0"/>
  </r>
  <r>
    <x v="0"/>
    <s v="天草市"/>
    <x v="18"/>
    <x v="9"/>
    <n v="99"/>
    <n v="3.54"/>
    <n v="62"/>
    <n v="3.28"/>
    <n v="36"/>
    <n v="4.42"/>
    <x v="0"/>
  </r>
  <r>
    <x v="0"/>
    <s v="天草市"/>
    <x v="18"/>
    <x v="10"/>
    <n v="332"/>
    <n v="11.86"/>
    <n v="297"/>
    <n v="15.69"/>
    <n v="30"/>
    <n v="3.68"/>
    <x v="0"/>
  </r>
  <r>
    <x v="0"/>
    <s v="天草市"/>
    <x v="18"/>
    <x v="11"/>
    <n v="376"/>
    <n v="13.43"/>
    <n v="340"/>
    <n v="17.96"/>
    <n v="33"/>
    <n v="4.05"/>
    <x v="0"/>
  </r>
  <r>
    <x v="0"/>
    <s v="天草市"/>
    <x v="18"/>
    <x v="12"/>
    <n v="72"/>
    <n v="2.57"/>
    <n v="53"/>
    <n v="2.8"/>
    <n v="5"/>
    <n v="0.61"/>
    <x v="0"/>
  </r>
  <r>
    <x v="0"/>
    <s v="天草市"/>
    <x v="18"/>
    <x v="13"/>
    <n v="127"/>
    <n v="4.54"/>
    <n v="75"/>
    <n v="3.96"/>
    <n v="50"/>
    <n v="6.13"/>
    <x v="0"/>
  </r>
  <r>
    <x v="0"/>
    <s v="天草市"/>
    <x v="18"/>
    <x v="14"/>
    <n v="148"/>
    <n v="5.29"/>
    <n v="58"/>
    <n v="3.06"/>
    <n v="31"/>
    <n v="3.8"/>
    <x v="15"/>
  </r>
  <r>
    <x v="0"/>
    <s v="合志市"/>
    <x v="19"/>
    <x v="0"/>
    <n v="0"/>
    <n v="0"/>
    <n v="0"/>
    <n v="0"/>
    <n v="0"/>
    <n v="0"/>
    <x v="0"/>
  </r>
  <r>
    <x v="0"/>
    <s v="合志市"/>
    <x v="19"/>
    <x v="1"/>
    <n v="157"/>
    <n v="17.760000000000002"/>
    <n v="30"/>
    <n v="7.41"/>
    <n v="127"/>
    <n v="27.14"/>
    <x v="0"/>
  </r>
  <r>
    <x v="0"/>
    <s v="合志市"/>
    <x v="19"/>
    <x v="2"/>
    <n v="45"/>
    <n v="5.09"/>
    <n v="11"/>
    <n v="2.72"/>
    <n v="34"/>
    <n v="7.26"/>
    <x v="0"/>
  </r>
  <r>
    <x v="0"/>
    <s v="合志市"/>
    <x v="19"/>
    <x v="3"/>
    <n v="5"/>
    <n v="0.56999999999999995"/>
    <n v="0"/>
    <n v="0"/>
    <n v="5"/>
    <n v="1.07"/>
    <x v="0"/>
  </r>
  <r>
    <x v="0"/>
    <s v="合志市"/>
    <x v="19"/>
    <x v="4"/>
    <n v="9"/>
    <n v="1.02"/>
    <n v="3"/>
    <n v="0.74"/>
    <n v="6"/>
    <n v="1.28"/>
    <x v="0"/>
  </r>
  <r>
    <x v="0"/>
    <s v="合志市"/>
    <x v="19"/>
    <x v="5"/>
    <n v="9"/>
    <n v="1.02"/>
    <n v="6"/>
    <n v="1.48"/>
    <n v="3"/>
    <n v="0.64"/>
    <x v="0"/>
  </r>
  <r>
    <x v="0"/>
    <s v="合志市"/>
    <x v="19"/>
    <x v="6"/>
    <n v="208"/>
    <n v="23.53"/>
    <n v="83"/>
    <n v="20.49"/>
    <n v="125"/>
    <n v="26.71"/>
    <x v="0"/>
  </r>
  <r>
    <x v="0"/>
    <s v="合志市"/>
    <x v="19"/>
    <x v="7"/>
    <n v="9"/>
    <n v="1.02"/>
    <n v="0"/>
    <n v="0"/>
    <n v="9"/>
    <n v="1.92"/>
    <x v="0"/>
  </r>
  <r>
    <x v="0"/>
    <s v="合志市"/>
    <x v="19"/>
    <x v="8"/>
    <n v="52"/>
    <n v="5.88"/>
    <n v="4"/>
    <n v="0.99"/>
    <n v="48"/>
    <n v="10.26"/>
    <x v="0"/>
  </r>
  <r>
    <x v="0"/>
    <s v="合志市"/>
    <x v="19"/>
    <x v="9"/>
    <n v="39"/>
    <n v="4.41"/>
    <n v="17"/>
    <n v="4.2"/>
    <n v="22"/>
    <n v="4.7"/>
    <x v="0"/>
  </r>
  <r>
    <x v="0"/>
    <s v="合志市"/>
    <x v="19"/>
    <x v="10"/>
    <n v="70"/>
    <n v="7.92"/>
    <n v="58"/>
    <n v="14.32"/>
    <n v="12"/>
    <n v="2.56"/>
    <x v="0"/>
  </r>
  <r>
    <x v="0"/>
    <s v="合志市"/>
    <x v="19"/>
    <x v="11"/>
    <n v="125"/>
    <n v="14.14"/>
    <n v="102"/>
    <n v="25.19"/>
    <n v="23"/>
    <n v="4.91"/>
    <x v="0"/>
  </r>
  <r>
    <x v="0"/>
    <s v="合志市"/>
    <x v="19"/>
    <x v="12"/>
    <n v="54"/>
    <n v="6.11"/>
    <n v="37"/>
    <n v="9.14"/>
    <n v="13"/>
    <n v="2.78"/>
    <x v="0"/>
  </r>
  <r>
    <x v="0"/>
    <s v="合志市"/>
    <x v="19"/>
    <x v="13"/>
    <n v="60"/>
    <n v="6.79"/>
    <n v="34"/>
    <n v="8.4"/>
    <n v="23"/>
    <n v="4.91"/>
    <x v="0"/>
  </r>
  <r>
    <x v="0"/>
    <s v="合志市"/>
    <x v="19"/>
    <x v="14"/>
    <n v="42"/>
    <n v="4.75"/>
    <n v="20"/>
    <n v="4.9400000000000004"/>
    <n v="18"/>
    <n v="3.85"/>
    <x v="0"/>
  </r>
  <r>
    <x v="0"/>
    <s v="下益城郡美里町"/>
    <x v="20"/>
    <x v="0"/>
    <n v="1"/>
    <n v="0.45"/>
    <n v="1"/>
    <n v="0.69"/>
    <n v="0"/>
    <n v="0"/>
    <x v="0"/>
  </r>
  <r>
    <x v="0"/>
    <s v="下益城郡美里町"/>
    <x v="20"/>
    <x v="1"/>
    <n v="51"/>
    <n v="22.77"/>
    <n v="28"/>
    <n v="19.309999999999999"/>
    <n v="23"/>
    <n v="30.26"/>
    <x v="0"/>
  </r>
  <r>
    <x v="0"/>
    <s v="下益城郡美里町"/>
    <x v="20"/>
    <x v="2"/>
    <n v="24"/>
    <n v="10.71"/>
    <n v="12"/>
    <n v="8.2799999999999994"/>
    <n v="12"/>
    <n v="15.79"/>
    <x v="0"/>
  </r>
  <r>
    <x v="0"/>
    <s v="下益城郡美里町"/>
    <x v="20"/>
    <x v="3"/>
    <n v="4"/>
    <n v="1.79"/>
    <n v="0"/>
    <n v="0"/>
    <n v="2"/>
    <n v="2.63"/>
    <x v="0"/>
  </r>
  <r>
    <x v="0"/>
    <s v="下益城郡美里町"/>
    <x v="20"/>
    <x v="4"/>
    <n v="0"/>
    <n v="0"/>
    <n v="0"/>
    <n v="0"/>
    <n v="0"/>
    <n v="0"/>
    <x v="0"/>
  </r>
  <r>
    <x v="0"/>
    <s v="下益城郡美里町"/>
    <x v="20"/>
    <x v="5"/>
    <n v="4"/>
    <n v="1.79"/>
    <n v="1"/>
    <n v="0.69"/>
    <n v="3"/>
    <n v="3.95"/>
    <x v="0"/>
  </r>
  <r>
    <x v="0"/>
    <s v="下益城郡美里町"/>
    <x v="20"/>
    <x v="6"/>
    <n v="57"/>
    <n v="25.45"/>
    <n v="35"/>
    <n v="24.14"/>
    <n v="21"/>
    <n v="27.63"/>
    <x v="9"/>
  </r>
  <r>
    <x v="0"/>
    <s v="下益城郡美里町"/>
    <x v="20"/>
    <x v="7"/>
    <n v="0"/>
    <n v="0"/>
    <n v="0"/>
    <n v="0"/>
    <n v="0"/>
    <n v="0"/>
    <x v="0"/>
  </r>
  <r>
    <x v="0"/>
    <s v="下益城郡美里町"/>
    <x v="20"/>
    <x v="8"/>
    <n v="2"/>
    <n v="0.89"/>
    <n v="2"/>
    <n v="1.38"/>
    <n v="0"/>
    <n v="0"/>
    <x v="0"/>
  </r>
  <r>
    <x v="0"/>
    <s v="下益城郡美里町"/>
    <x v="20"/>
    <x v="9"/>
    <n v="8"/>
    <n v="3.57"/>
    <n v="5"/>
    <n v="3.45"/>
    <n v="3"/>
    <n v="3.95"/>
    <x v="0"/>
  </r>
  <r>
    <x v="0"/>
    <s v="下益城郡美里町"/>
    <x v="20"/>
    <x v="10"/>
    <n v="21"/>
    <n v="9.3800000000000008"/>
    <n v="16"/>
    <n v="11.03"/>
    <n v="5"/>
    <n v="6.58"/>
    <x v="0"/>
  </r>
  <r>
    <x v="0"/>
    <s v="下益城郡美里町"/>
    <x v="20"/>
    <x v="11"/>
    <n v="31"/>
    <n v="13.84"/>
    <n v="30"/>
    <n v="20.69"/>
    <n v="1"/>
    <n v="1.32"/>
    <x v="0"/>
  </r>
  <r>
    <x v="0"/>
    <s v="下益城郡美里町"/>
    <x v="20"/>
    <x v="12"/>
    <n v="4"/>
    <n v="1.79"/>
    <n v="4"/>
    <n v="2.76"/>
    <n v="0"/>
    <n v="0"/>
    <x v="0"/>
  </r>
  <r>
    <x v="0"/>
    <s v="下益城郡美里町"/>
    <x v="20"/>
    <x v="13"/>
    <n v="8"/>
    <n v="3.57"/>
    <n v="5"/>
    <n v="3.45"/>
    <n v="3"/>
    <n v="3.95"/>
    <x v="0"/>
  </r>
  <r>
    <x v="0"/>
    <s v="下益城郡美里町"/>
    <x v="20"/>
    <x v="14"/>
    <n v="9"/>
    <n v="4.0199999999999996"/>
    <n v="6"/>
    <n v="4.1399999999999997"/>
    <n v="3"/>
    <n v="3.95"/>
    <x v="0"/>
  </r>
  <r>
    <x v="0"/>
    <s v="玉名郡玉東町"/>
    <x v="21"/>
    <x v="0"/>
    <n v="0"/>
    <n v="0"/>
    <n v="0"/>
    <n v="0"/>
    <n v="0"/>
    <n v="0"/>
    <x v="0"/>
  </r>
  <r>
    <x v="0"/>
    <s v="玉名郡玉東町"/>
    <x v="21"/>
    <x v="1"/>
    <n v="19"/>
    <n v="19"/>
    <n v="7"/>
    <n v="12.5"/>
    <n v="12"/>
    <n v="28.57"/>
    <x v="0"/>
  </r>
  <r>
    <x v="0"/>
    <s v="玉名郡玉東町"/>
    <x v="21"/>
    <x v="2"/>
    <n v="5"/>
    <n v="5"/>
    <n v="1"/>
    <n v="1.79"/>
    <n v="4"/>
    <n v="9.52"/>
    <x v="0"/>
  </r>
  <r>
    <x v="0"/>
    <s v="玉名郡玉東町"/>
    <x v="21"/>
    <x v="3"/>
    <n v="2"/>
    <n v="2"/>
    <n v="0"/>
    <n v="0"/>
    <n v="1"/>
    <n v="2.38"/>
    <x v="0"/>
  </r>
  <r>
    <x v="0"/>
    <s v="玉名郡玉東町"/>
    <x v="21"/>
    <x v="4"/>
    <n v="1"/>
    <n v="1"/>
    <n v="0"/>
    <n v="0"/>
    <n v="1"/>
    <n v="2.38"/>
    <x v="0"/>
  </r>
  <r>
    <x v="0"/>
    <s v="玉名郡玉東町"/>
    <x v="21"/>
    <x v="5"/>
    <n v="1"/>
    <n v="1"/>
    <n v="0"/>
    <n v="0"/>
    <n v="1"/>
    <n v="2.38"/>
    <x v="0"/>
  </r>
  <r>
    <x v="0"/>
    <s v="玉名郡玉東町"/>
    <x v="21"/>
    <x v="6"/>
    <n v="29"/>
    <n v="29"/>
    <n v="15"/>
    <n v="26.79"/>
    <n v="14"/>
    <n v="33.33"/>
    <x v="0"/>
  </r>
  <r>
    <x v="0"/>
    <s v="玉名郡玉東町"/>
    <x v="21"/>
    <x v="7"/>
    <n v="0"/>
    <n v="0"/>
    <n v="0"/>
    <n v="0"/>
    <n v="0"/>
    <n v="0"/>
    <x v="0"/>
  </r>
  <r>
    <x v="0"/>
    <s v="玉名郡玉東町"/>
    <x v="21"/>
    <x v="8"/>
    <n v="6"/>
    <n v="6"/>
    <n v="3"/>
    <n v="5.36"/>
    <n v="3"/>
    <n v="7.14"/>
    <x v="0"/>
  </r>
  <r>
    <x v="0"/>
    <s v="玉名郡玉東町"/>
    <x v="21"/>
    <x v="9"/>
    <n v="3"/>
    <n v="3"/>
    <n v="2"/>
    <n v="3.57"/>
    <n v="1"/>
    <n v="2.38"/>
    <x v="0"/>
  </r>
  <r>
    <x v="0"/>
    <s v="玉名郡玉東町"/>
    <x v="21"/>
    <x v="10"/>
    <n v="4"/>
    <n v="4"/>
    <n v="4"/>
    <n v="7.14"/>
    <n v="0"/>
    <n v="0"/>
    <x v="0"/>
  </r>
  <r>
    <x v="0"/>
    <s v="玉名郡玉東町"/>
    <x v="21"/>
    <x v="11"/>
    <n v="12"/>
    <n v="12"/>
    <n v="12"/>
    <n v="21.43"/>
    <n v="0"/>
    <n v="0"/>
    <x v="0"/>
  </r>
  <r>
    <x v="0"/>
    <s v="玉名郡玉東町"/>
    <x v="21"/>
    <x v="12"/>
    <n v="2"/>
    <n v="2"/>
    <n v="2"/>
    <n v="3.57"/>
    <n v="0"/>
    <n v="0"/>
    <x v="0"/>
  </r>
  <r>
    <x v="0"/>
    <s v="玉名郡玉東町"/>
    <x v="21"/>
    <x v="13"/>
    <n v="8"/>
    <n v="8"/>
    <n v="8"/>
    <n v="14.29"/>
    <n v="0"/>
    <n v="0"/>
    <x v="0"/>
  </r>
  <r>
    <x v="0"/>
    <s v="玉名郡玉東町"/>
    <x v="21"/>
    <x v="14"/>
    <n v="8"/>
    <n v="8"/>
    <n v="2"/>
    <n v="3.57"/>
    <n v="5"/>
    <n v="11.9"/>
    <x v="0"/>
  </r>
  <r>
    <x v="0"/>
    <s v="玉名郡南関町"/>
    <x v="22"/>
    <x v="0"/>
    <n v="0"/>
    <n v="0"/>
    <n v="0"/>
    <n v="0"/>
    <n v="0"/>
    <n v="0"/>
    <x v="0"/>
  </r>
  <r>
    <x v="0"/>
    <s v="玉名郡南関町"/>
    <x v="22"/>
    <x v="1"/>
    <n v="43"/>
    <n v="18.3"/>
    <n v="22"/>
    <n v="16.059999999999999"/>
    <n v="21"/>
    <n v="22.58"/>
    <x v="0"/>
  </r>
  <r>
    <x v="0"/>
    <s v="玉名郡南関町"/>
    <x v="22"/>
    <x v="2"/>
    <n v="39"/>
    <n v="16.600000000000001"/>
    <n v="16"/>
    <n v="11.68"/>
    <n v="23"/>
    <n v="24.73"/>
    <x v="0"/>
  </r>
  <r>
    <x v="0"/>
    <s v="玉名郡南関町"/>
    <x v="22"/>
    <x v="3"/>
    <n v="3"/>
    <n v="1.28"/>
    <n v="0"/>
    <n v="0"/>
    <n v="3"/>
    <n v="3.23"/>
    <x v="0"/>
  </r>
  <r>
    <x v="0"/>
    <s v="玉名郡南関町"/>
    <x v="22"/>
    <x v="4"/>
    <n v="1"/>
    <n v="0.43"/>
    <n v="0"/>
    <n v="0"/>
    <n v="1"/>
    <n v="1.08"/>
    <x v="0"/>
  </r>
  <r>
    <x v="0"/>
    <s v="玉名郡南関町"/>
    <x v="22"/>
    <x v="5"/>
    <n v="2"/>
    <n v="0.85"/>
    <n v="1"/>
    <n v="0.73"/>
    <n v="1"/>
    <n v="1.08"/>
    <x v="0"/>
  </r>
  <r>
    <x v="0"/>
    <s v="玉名郡南関町"/>
    <x v="22"/>
    <x v="6"/>
    <n v="75"/>
    <n v="31.91"/>
    <n v="45"/>
    <n v="32.85"/>
    <n v="29"/>
    <n v="31.18"/>
    <x v="9"/>
  </r>
  <r>
    <x v="0"/>
    <s v="玉名郡南関町"/>
    <x v="22"/>
    <x v="7"/>
    <n v="1"/>
    <n v="0.43"/>
    <n v="1"/>
    <n v="0.73"/>
    <n v="0"/>
    <n v="0"/>
    <x v="0"/>
  </r>
  <r>
    <x v="0"/>
    <s v="玉名郡南関町"/>
    <x v="22"/>
    <x v="8"/>
    <n v="4"/>
    <n v="1.7"/>
    <n v="3"/>
    <n v="2.19"/>
    <n v="1"/>
    <n v="1.08"/>
    <x v="0"/>
  </r>
  <r>
    <x v="0"/>
    <s v="玉名郡南関町"/>
    <x v="22"/>
    <x v="9"/>
    <n v="5"/>
    <n v="2.13"/>
    <n v="3"/>
    <n v="2.19"/>
    <n v="2"/>
    <n v="2.15"/>
    <x v="0"/>
  </r>
  <r>
    <x v="0"/>
    <s v="玉名郡南関町"/>
    <x v="22"/>
    <x v="10"/>
    <n v="15"/>
    <n v="6.38"/>
    <n v="12"/>
    <n v="8.76"/>
    <n v="3"/>
    <n v="3.23"/>
    <x v="0"/>
  </r>
  <r>
    <x v="0"/>
    <s v="玉名郡南関町"/>
    <x v="22"/>
    <x v="11"/>
    <n v="21"/>
    <n v="8.94"/>
    <n v="16"/>
    <n v="11.68"/>
    <n v="4"/>
    <n v="4.3"/>
    <x v="0"/>
  </r>
  <r>
    <x v="0"/>
    <s v="玉名郡南関町"/>
    <x v="22"/>
    <x v="12"/>
    <n v="5"/>
    <n v="2.13"/>
    <n v="4"/>
    <n v="2.92"/>
    <n v="0"/>
    <n v="0"/>
    <x v="0"/>
  </r>
  <r>
    <x v="0"/>
    <s v="玉名郡南関町"/>
    <x v="22"/>
    <x v="13"/>
    <n v="9"/>
    <n v="3.83"/>
    <n v="8"/>
    <n v="5.84"/>
    <n v="1"/>
    <n v="1.08"/>
    <x v="0"/>
  </r>
  <r>
    <x v="0"/>
    <s v="玉名郡南関町"/>
    <x v="22"/>
    <x v="14"/>
    <n v="12"/>
    <n v="5.1100000000000003"/>
    <n v="6"/>
    <n v="4.38"/>
    <n v="4"/>
    <n v="4.3"/>
    <x v="9"/>
  </r>
  <r>
    <x v="0"/>
    <s v="玉名郡長洲町"/>
    <x v="23"/>
    <x v="0"/>
    <n v="0"/>
    <n v="0"/>
    <n v="0"/>
    <n v="0"/>
    <n v="0"/>
    <n v="0"/>
    <x v="0"/>
  </r>
  <r>
    <x v="0"/>
    <s v="玉名郡長洲町"/>
    <x v="23"/>
    <x v="1"/>
    <n v="52"/>
    <n v="17.93"/>
    <n v="17"/>
    <n v="10.24"/>
    <n v="35"/>
    <n v="29.41"/>
    <x v="0"/>
  </r>
  <r>
    <x v="0"/>
    <s v="玉名郡長洲町"/>
    <x v="23"/>
    <x v="2"/>
    <n v="31"/>
    <n v="10.69"/>
    <n v="7"/>
    <n v="4.22"/>
    <n v="24"/>
    <n v="20.170000000000002"/>
    <x v="0"/>
  </r>
  <r>
    <x v="0"/>
    <s v="玉名郡長洲町"/>
    <x v="23"/>
    <x v="3"/>
    <n v="4"/>
    <n v="1.38"/>
    <n v="0"/>
    <n v="0"/>
    <n v="4"/>
    <n v="3.36"/>
    <x v="0"/>
  </r>
  <r>
    <x v="0"/>
    <s v="玉名郡長洲町"/>
    <x v="23"/>
    <x v="4"/>
    <n v="1"/>
    <n v="0.34"/>
    <n v="0"/>
    <n v="0"/>
    <n v="1"/>
    <n v="0.84"/>
    <x v="0"/>
  </r>
  <r>
    <x v="0"/>
    <s v="玉名郡長洲町"/>
    <x v="23"/>
    <x v="5"/>
    <n v="5"/>
    <n v="1.72"/>
    <n v="1"/>
    <n v="0.6"/>
    <n v="4"/>
    <n v="3.36"/>
    <x v="0"/>
  </r>
  <r>
    <x v="0"/>
    <s v="玉名郡長洲町"/>
    <x v="23"/>
    <x v="6"/>
    <n v="82"/>
    <n v="28.28"/>
    <n v="48"/>
    <n v="28.92"/>
    <n v="34"/>
    <n v="28.57"/>
    <x v="0"/>
  </r>
  <r>
    <x v="0"/>
    <s v="玉名郡長洲町"/>
    <x v="23"/>
    <x v="7"/>
    <n v="2"/>
    <n v="0.69"/>
    <n v="0"/>
    <n v="0"/>
    <n v="2"/>
    <n v="1.68"/>
    <x v="0"/>
  </r>
  <r>
    <x v="0"/>
    <s v="玉名郡長洲町"/>
    <x v="23"/>
    <x v="8"/>
    <n v="22"/>
    <n v="7.59"/>
    <n v="16"/>
    <n v="9.64"/>
    <n v="6"/>
    <n v="5.04"/>
    <x v="0"/>
  </r>
  <r>
    <x v="0"/>
    <s v="玉名郡長洲町"/>
    <x v="23"/>
    <x v="9"/>
    <n v="7"/>
    <n v="2.41"/>
    <n v="5"/>
    <n v="3.01"/>
    <n v="2"/>
    <n v="1.68"/>
    <x v="0"/>
  </r>
  <r>
    <x v="0"/>
    <s v="玉名郡長洲町"/>
    <x v="23"/>
    <x v="10"/>
    <n v="21"/>
    <n v="7.24"/>
    <n v="19"/>
    <n v="11.45"/>
    <n v="2"/>
    <n v="1.68"/>
    <x v="0"/>
  </r>
  <r>
    <x v="0"/>
    <s v="玉名郡長洲町"/>
    <x v="23"/>
    <x v="11"/>
    <n v="37"/>
    <n v="12.76"/>
    <n v="35"/>
    <n v="21.08"/>
    <n v="2"/>
    <n v="1.68"/>
    <x v="0"/>
  </r>
  <r>
    <x v="0"/>
    <s v="玉名郡長洲町"/>
    <x v="23"/>
    <x v="12"/>
    <n v="10"/>
    <n v="3.45"/>
    <n v="7"/>
    <n v="4.22"/>
    <n v="2"/>
    <n v="1.68"/>
    <x v="0"/>
  </r>
  <r>
    <x v="0"/>
    <s v="玉名郡長洲町"/>
    <x v="23"/>
    <x v="13"/>
    <n v="12"/>
    <n v="4.1399999999999997"/>
    <n v="7"/>
    <n v="4.22"/>
    <n v="1"/>
    <n v="0.84"/>
    <x v="0"/>
  </r>
  <r>
    <x v="0"/>
    <s v="玉名郡長洲町"/>
    <x v="23"/>
    <x v="14"/>
    <n v="4"/>
    <n v="1.38"/>
    <n v="4"/>
    <n v="2.41"/>
    <n v="0"/>
    <n v="0"/>
    <x v="0"/>
  </r>
  <r>
    <x v="0"/>
    <s v="玉名郡和水町"/>
    <x v="24"/>
    <x v="0"/>
    <n v="0"/>
    <n v="0"/>
    <n v="0"/>
    <n v="0"/>
    <n v="0"/>
    <n v="0"/>
    <x v="0"/>
  </r>
  <r>
    <x v="0"/>
    <s v="玉名郡和水町"/>
    <x v="24"/>
    <x v="1"/>
    <n v="47"/>
    <n v="18.88"/>
    <n v="29"/>
    <n v="17.260000000000002"/>
    <n v="18"/>
    <n v="22.78"/>
    <x v="0"/>
  </r>
  <r>
    <x v="0"/>
    <s v="玉名郡和水町"/>
    <x v="24"/>
    <x v="2"/>
    <n v="20"/>
    <n v="8.0299999999999994"/>
    <n v="9"/>
    <n v="5.36"/>
    <n v="11"/>
    <n v="13.92"/>
    <x v="0"/>
  </r>
  <r>
    <x v="0"/>
    <s v="玉名郡和水町"/>
    <x v="24"/>
    <x v="3"/>
    <n v="1"/>
    <n v="0.4"/>
    <n v="0"/>
    <n v="0"/>
    <n v="1"/>
    <n v="1.27"/>
    <x v="0"/>
  </r>
  <r>
    <x v="0"/>
    <s v="玉名郡和水町"/>
    <x v="24"/>
    <x v="4"/>
    <n v="0"/>
    <n v="0"/>
    <n v="0"/>
    <n v="0"/>
    <n v="0"/>
    <n v="0"/>
    <x v="0"/>
  </r>
  <r>
    <x v="0"/>
    <s v="玉名郡和水町"/>
    <x v="24"/>
    <x v="5"/>
    <n v="3"/>
    <n v="1.2"/>
    <n v="2"/>
    <n v="1.19"/>
    <n v="1"/>
    <n v="1.27"/>
    <x v="0"/>
  </r>
  <r>
    <x v="0"/>
    <s v="玉名郡和水町"/>
    <x v="24"/>
    <x v="6"/>
    <n v="73"/>
    <n v="29.32"/>
    <n v="47"/>
    <n v="27.98"/>
    <n v="26"/>
    <n v="32.909999999999997"/>
    <x v="0"/>
  </r>
  <r>
    <x v="0"/>
    <s v="玉名郡和水町"/>
    <x v="24"/>
    <x v="7"/>
    <n v="1"/>
    <n v="0.4"/>
    <n v="1"/>
    <n v="0.6"/>
    <n v="0"/>
    <n v="0"/>
    <x v="0"/>
  </r>
  <r>
    <x v="0"/>
    <s v="玉名郡和水町"/>
    <x v="24"/>
    <x v="8"/>
    <n v="8"/>
    <n v="3.21"/>
    <n v="5"/>
    <n v="2.98"/>
    <n v="3"/>
    <n v="3.8"/>
    <x v="0"/>
  </r>
  <r>
    <x v="0"/>
    <s v="玉名郡和水町"/>
    <x v="24"/>
    <x v="9"/>
    <n v="8"/>
    <n v="3.21"/>
    <n v="5"/>
    <n v="2.98"/>
    <n v="3"/>
    <n v="3.8"/>
    <x v="0"/>
  </r>
  <r>
    <x v="0"/>
    <s v="玉名郡和水町"/>
    <x v="24"/>
    <x v="10"/>
    <n v="22"/>
    <n v="8.84"/>
    <n v="17"/>
    <n v="10.119999999999999"/>
    <n v="5"/>
    <n v="6.33"/>
    <x v="0"/>
  </r>
  <r>
    <x v="0"/>
    <s v="玉名郡和水町"/>
    <x v="24"/>
    <x v="11"/>
    <n v="21"/>
    <n v="8.43"/>
    <n v="20"/>
    <n v="11.9"/>
    <n v="1"/>
    <n v="1.27"/>
    <x v="0"/>
  </r>
  <r>
    <x v="0"/>
    <s v="玉名郡和水町"/>
    <x v="24"/>
    <x v="12"/>
    <n v="10"/>
    <n v="4.0199999999999996"/>
    <n v="8"/>
    <n v="4.76"/>
    <n v="0"/>
    <n v="0"/>
    <x v="0"/>
  </r>
  <r>
    <x v="0"/>
    <s v="玉名郡和水町"/>
    <x v="24"/>
    <x v="13"/>
    <n v="11"/>
    <n v="4.42"/>
    <n v="6"/>
    <n v="3.57"/>
    <n v="5"/>
    <n v="6.33"/>
    <x v="0"/>
  </r>
  <r>
    <x v="0"/>
    <s v="玉名郡和水町"/>
    <x v="24"/>
    <x v="14"/>
    <n v="24"/>
    <n v="9.64"/>
    <n v="19"/>
    <n v="11.31"/>
    <n v="5"/>
    <n v="6.33"/>
    <x v="0"/>
  </r>
  <r>
    <x v="0"/>
    <s v="菊池郡大津町"/>
    <x v="25"/>
    <x v="0"/>
    <n v="0"/>
    <n v="0"/>
    <n v="0"/>
    <n v="0"/>
    <n v="0"/>
    <n v="0"/>
    <x v="0"/>
  </r>
  <r>
    <x v="0"/>
    <s v="菊池郡大津町"/>
    <x v="25"/>
    <x v="1"/>
    <n v="75"/>
    <n v="12.46"/>
    <n v="16"/>
    <n v="6.25"/>
    <n v="59"/>
    <n v="17.46"/>
    <x v="0"/>
  </r>
  <r>
    <x v="0"/>
    <s v="菊池郡大津町"/>
    <x v="25"/>
    <x v="2"/>
    <n v="54"/>
    <n v="8.9700000000000006"/>
    <n v="14"/>
    <n v="5.47"/>
    <n v="40"/>
    <n v="11.83"/>
    <x v="0"/>
  </r>
  <r>
    <x v="0"/>
    <s v="菊池郡大津町"/>
    <x v="25"/>
    <x v="3"/>
    <n v="8"/>
    <n v="1.33"/>
    <n v="0"/>
    <n v="0"/>
    <n v="7"/>
    <n v="2.0699999999999998"/>
    <x v="0"/>
  </r>
  <r>
    <x v="0"/>
    <s v="菊池郡大津町"/>
    <x v="25"/>
    <x v="4"/>
    <n v="9"/>
    <n v="1.5"/>
    <n v="0"/>
    <n v="0"/>
    <n v="9"/>
    <n v="2.66"/>
    <x v="0"/>
  </r>
  <r>
    <x v="0"/>
    <s v="菊池郡大津町"/>
    <x v="25"/>
    <x v="5"/>
    <n v="17"/>
    <n v="2.82"/>
    <n v="2"/>
    <n v="0.78"/>
    <n v="14"/>
    <n v="4.1399999999999997"/>
    <x v="9"/>
  </r>
  <r>
    <x v="0"/>
    <s v="菊池郡大津町"/>
    <x v="25"/>
    <x v="6"/>
    <n v="137"/>
    <n v="22.76"/>
    <n v="60"/>
    <n v="23.44"/>
    <n v="76"/>
    <n v="22.49"/>
    <x v="9"/>
  </r>
  <r>
    <x v="0"/>
    <s v="菊池郡大津町"/>
    <x v="25"/>
    <x v="7"/>
    <n v="2"/>
    <n v="0.33"/>
    <n v="1"/>
    <n v="0.39"/>
    <n v="1"/>
    <n v="0.3"/>
    <x v="0"/>
  </r>
  <r>
    <x v="0"/>
    <s v="菊池郡大津町"/>
    <x v="25"/>
    <x v="8"/>
    <n v="46"/>
    <n v="7.64"/>
    <n v="15"/>
    <n v="5.86"/>
    <n v="30"/>
    <n v="8.8800000000000008"/>
    <x v="0"/>
  </r>
  <r>
    <x v="0"/>
    <s v="菊池郡大津町"/>
    <x v="25"/>
    <x v="9"/>
    <n v="31"/>
    <n v="5.15"/>
    <n v="10"/>
    <n v="3.91"/>
    <n v="21"/>
    <n v="6.21"/>
    <x v="0"/>
  </r>
  <r>
    <x v="0"/>
    <s v="菊池郡大津町"/>
    <x v="25"/>
    <x v="10"/>
    <n v="70"/>
    <n v="11.63"/>
    <n v="40"/>
    <n v="15.63"/>
    <n v="30"/>
    <n v="8.8800000000000008"/>
    <x v="0"/>
  </r>
  <r>
    <x v="0"/>
    <s v="菊池郡大津町"/>
    <x v="25"/>
    <x v="11"/>
    <n v="76"/>
    <n v="12.62"/>
    <n v="59"/>
    <n v="23.05"/>
    <n v="17"/>
    <n v="5.03"/>
    <x v="0"/>
  </r>
  <r>
    <x v="0"/>
    <s v="菊池郡大津町"/>
    <x v="25"/>
    <x v="12"/>
    <n v="26"/>
    <n v="4.32"/>
    <n v="18"/>
    <n v="7.03"/>
    <n v="6"/>
    <n v="1.78"/>
    <x v="0"/>
  </r>
  <r>
    <x v="0"/>
    <s v="菊池郡大津町"/>
    <x v="25"/>
    <x v="13"/>
    <n v="17"/>
    <n v="2.82"/>
    <n v="11"/>
    <n v="4.3"/>
    <n v="5"/>
    <n v="1.48"/>
    <x v="0"/>
  </r>
  <r>
    <x v="0"/>
    <s v="菊池郡大津町"/>
    <x v="25"/>
    <x v="14"/>
    <n v="34"/>
    <n v="5.65"/>
    <n v="10"/>
    <n v="3.91"/>
    <n v="23"/>
    <n v="6.8"/>
    <x v="0"/>
  </r>
  <r>
    <x v="0"/>
    <s v="菊池郡菊陽町"/>
    <x v="26"/>
    <x v="0"/>
    <n v="0"/>
    <n v="0"/>
    <n v="0"/>
    <n v="0"/>
    <n v="0"/>
    <n v="0"/>
    <x v="0"/>
  </r>
  <r>
    <x v="0"/>
    <s v="菊池郡菊陽町"/>
    <x v="26"/>
    <x v="1"/>
    <n v="127"/>
    <n v="16.45"/>
    <n v="28"/>
    <n v="8.89"/>
    <n v="99"/>
    <n v="21.9"/>
    <x v="0"/>
  </r>
  <r>
    <x v="0"/>
    <s v="菊池郡菊陽町"/>
    <x v="26"/>
    <x v="2"/>
    <n v="24"/>
    <n v="3.11"/>
    <n v="4"/>
    <n v="1.27"/>
    <n v="20"/>
    <n v="4.42"/>
    <x v="0"/>
  </r>
  <r>
    <x v="0"/>
    <s v="菊池郡菊陽町"/>
    <x v="26"/>
    <x v="3"/>
    <n v="1"/>
    <n v="0.13"/>
    <n v="0"/>
    <n v="0"/>
    <n v="1"/>
    <n v="0.22"/>
    <x v="0"/>
  </r>
  <r>
    <x v="0"/>
    <s v="菊池郡菊陽町"/>
    <x v="26"/>
    <x v="4"/>
    <n v="3"/>
    <n v="0.39"/>
    <n v="0"/>
    <n v="0"/>
    <n v="3"/>
    <n v="0.66"/>
    <x v="0"/>
  </r>
  <r>
    <x v="0"/>
    <s v="菊池郡菊陽町"/>
    <x v="26"/>
    <x v="5"/>
    <n v="4"/>
    <n v="0.52"/>
    <n v="1"/>
    <n v="0.32"/>
    <n v="3"/>
    <n v="0.66"/>
    <x v="0"/>
  </r>
  <r>
    <x v="0"/>
    <s v="菊池郡菊陽町"/>
    <x v="26"/>
    <x v="6"/>
    <n v="223"/>
    <n v="28.89"/>
    <n v="70"/>
    <n v="22.22"/>
    <n v="153"/>
    <n v="33.85"/>
    <x v="0"/>
  </r>
  <r>
    <x v="0"/>
    <s v="菊池郡菊陽町"/>
    <x v="26"/>
    <x v="7"/>
    <n v="6"/>
    <n v="0.78"/>
    <n v="1"/>
    <n v="0.32"/>
    <n v="5"/>
    <n v="1.1100000000000001"/>
    <x v="0"/>
  </r>
  <r>
    <x v="0"/>
    <s v="菊池郡菊陽町"/>
    <x v="26"/>
    <x v="8"/>
    <n v="52"/>
    <n v="6.74"/>
    <n v="10"/>
    <n v="3.17"/>
    <n v="42"/>
    <n v="9.2899999999999991"/>
    <x v="0"/>
  </r>
  <r>
    <x v="0"/>
    <s v="菊池郡菊陽町"/>
    <x v="26"/>
    <x v="9"/>
    <n v="42"/>
    <n v="5.44"/>
    <n v="20"/>
    <n v="6.35"/>
    <n v="22"/>
    <n v="4.87"/>
    <x v="0"/>
  </r>
  <r>
    <x v="0"/>
    <s v="菊池郡菊陽町"/>
    <x v="26"/>
    <x v="10"/>
    <n v="63"/>
    <n v="8.16"/>
    <n v="46"/>
    <n v="14.6"/>
    <n v="17"/>
    <n v="3.76"/>
    <x v="0"/>
  </r>
  <r>
    <x v="0"/>
    <s v="菊池郡菊陽町"/>
    <x v="26"/>
    <x v="11"/>
    <n v="108"/>
    <n v="13.99"/>
    <n v="69"/>
    <n v="21.9"/>
    <n v="39"/>
    <n v="8.6300000000000008"/>
    <x v="0"/>
  </r>
  <r>
    <x v="0"/>
    <s v="菊池郡菊陽町"/>
    <x v="26"/>
    <x v="12"/>
    <n v="33"/>
    <n v="4.2699999999999996"/>
    <n v="23"/>
    <n v="7.3"/>
    <n v="9"/>
    <n v="1.99"/>
    <x v="0"/>
  </r>
  <r>
    <x v="0"/>
    <s v="菊池郡菊陽町"/>
    <x v="26"/>
    <x v="13"/>
    <n v="49"/>
    <n v="6.35"/>
    <n v="27"/>
    <n v="8.57"/>
    <n v="22"/>
    <n v="4.87"/>
    <x v="0"/>
  </r>
  <r>
    <x v="0"/>
    <s v="菊池郡菊陽町"/>
    <x v="26"/>
    <x v="14"/>
    <n v="37"/>
    <n v="4.79"/>
    <n v="16"/>
    <n v="5.08"/>
    <n v="17"/>
    <n v="3.76"/>
    <x v="0"/>
  </r>
  <r>
    <x v="0"/>
    <s v="阿蘇郡南小国町"/>
    <x v="27"/>
    <x v="0"/>
    <n v="0"/>
    <n v="0"/>
    <n v="0"/>
    <n v="0"/>
    <n v="0"/>
    <n v="0"/>
    <x v="0"/>
  </r>
  <r>
    <x v="0"/>
    <s v="阿蘇郡南小国町"/>
    <x v="27"/>
    <x v="1"/>
    <n v="29"/>
    <n v="17.79"/>
    <n v="18"/>
    <n v="19.57"/>
    <n v="11"/>
    <n v="17.46"/>
    <x v="0"/>
  </r>
  <r>
    <x v="0"/>
    <s v="阿蘇郡南小国町"/>
    <x v="27"/>
    <x v="2"/>
    <n v="11"/>
    <n v="6.75"/>
    <n v="2"/>
    <n v="2.17"/>
    <n v="9"/>
    <n v="14.29"/>
    <x v="0"/>
  </r>
  <r>
    <x v="0"/>
    <s v="阿蘇郡南小国町"/>
    <x v="27"/>
    <x v="3"/>
    <n v="2"/>
    <n v="1.23"/>
    <n v="0"/>
    <n v="0"/>
    <n v="0"/>
    <n v="0"/>
    <x v="0"/>
  </r>
  <r>
    <x v="0"/>
    <s v="阿蘇郡南小国町"/>
    <x v="27"/>
    <x v="4"/>
    <n v="1"/>
    <n v="0.61"/>
    <n v="0"/>
    <n v="0"/>
    <n v="0"/>
    <n v="0"/>
    <x v="0"/>
  </r>
  <r>
    <x v="0"/>
    <s v="阿蘇郡南小国町"/>
    <x v="27"/>
    <x v="5"/>
    <n v="1"/>
    <n v="0.61"/>
    <n v="0"/>
    <n v="0"/>
    <n v="1"/>
    <n v="1.59"/>
    <x v="0"/>
  </r>
  <r>
    <x v="0"/>
    <s v="阿蘇郡南小国町"/>
    <x v="27"/>
    <x v="6"/>
    <n v="42"/>
    <n v="25.77"/>
    <n v="26"/>
    <n v="28.26"/>
    <n v="16"/>
    <n v="25.4"/>
    <x v="0"/>
  </r>
  <r>
    <x v="0"/>
    <s v="阿蘇郡南小国町"/>
    <x v="27"/>
    <x v="7"/>
    <n v="0"/>
    <n v="0"/>
    <n v="0"/>
    <n v="0"/>
    <n v="0"/>
    <n v="0"/>
    <x v="0"/>
  </r>
  <r>
    <x v="0"/>
    <s v="阿蘇郡南小国町"/>
    <x v="27"/>
    <x v="8"/>
    <n v="7"/>
    <n v="4.29"/>
    <n v="2"/>
    <n v="2.17"/>
    <n v="4"/>
    <n v="6.35"/>
    <x v="0"/>
  </r>
  <r>
    <x v="0"/>
    <s v="阿蘇郡南小国町"/>
    <x v="27"/>
    <x v="9"/>
    <n v="1"/>
    <n v="0.61"/>
    <n v="1"/>
    <n v="1.0900000000000001"/>
    <n v="0"/>
    <n v="0"/>
    <x v="0"/>
  </r>
  <r>
    <x v="0"/>
    <s v="阿蘇郡南小国町"/>
    <x v="27"/>
    <x v="10"/>
    <n v="46"/>
    <n v="28.22"/>
    <n v="29"/>
    <n v="31.52"/>
    <n v="17"/>
    <n v="26.98"/>
    <x v="0"/>
  </r>
  <r>
    <x v="0"/>
    <s v="阿蘇郡南小国町"/>
    <x v="27"/>
    <x v="11"/>
    <n v="14"/>
    <n v="8.59"/>
    <n v="9"/>
    <n v="9.7799999999999994"/>
    <n v="3"/>
    <n v="4.76"/>
    <x v="0"/>
  </r>
  <r>
    <x v="0"/>
    <s v="阿蘇郡南小国町"/>
    <x v="27"/>
    <x v="12"/>
    <n v="1"/>
    <n v="0.61"/>
    <n v="1"/>
    <n v="1.0900000000000001"/>
    <n v="0"/>
    <n v="0"/>
    <x v="0"/>
  </r>
  <r>
    <x v="0"/>
    <s v="阿蘇郡南小国町"/>
    <x v="27"/>
    <x v="13"/>
    <n v="2"/>
    <n v="1.23"/>
    <n v="1"/>
    <n v="1.0900000000000001"/>
    <n v="0"/>
    <n v="0"/>
    <x v="0"/>
  </r>
  <r>
    <x v="0"/>
    <s v="阿蘇郡南小国町"/>
    <x v="27"/>
    <x v="14"/>
    <n v="6"/>
    <n v="3.68"/>
    <n v="3"/>
    <n v="3.26"/>
    <n v="2"/>
    <n v="3.17"/>
    <x v="0"/>
  </r>
  <r>
    <x v="0"/>
    <s v="阿蘇郡小国町"/>
    <x v="28"/>
    <x v="0"/>
    <n v="0"/>
    <n v="0"/>
    <n v="0"/>
    <n v="0"/>
    <n v="0"/>
    <n v="0"/>
    <x v="0"/>
  </r>
  <r>
    <x v="0"/>
    <s v="阿蘇郡小国町"/>
    <x v="28"/>
    <x v="1"/>
    <n v="49"/>
    <n v="16.010000000000002"/>
    <n v="29"/>
    <n v="15.34"/>
    <n v="20"/>
    <n v="18.52"/>
    <x v="0"/>
  </r>
  <r>
    <x v="0"/>
    <s v="阿蘇郡小国町"/>
    <x v="28"/>
    <x v="2"/>
    <n v="26"/>
    <n v="8.5"/>
    <n v="12"/>
    <n v="6.35"/>
    <n v="14"/>
    <n v="12.96"/>
    <x v="0"/>
  </r>
  <r>
    <x v="0"/>
    <s v="阿蘇郡小国町"/>
    <x v="28"/>
    <x v="3"/>
    <n v="1"/>
    <n v="0.33"/>
    <n v="0"/>
    <n v="0"/>
    <n v="1"/>
    <n v="0.93"/>
    <x v="0"/>
  </r>
  <r>
    <x v="0"/>
    <s v="阿蘇郡小国町"/>
    <x v="28"/>
    <x v="4"/>
    <n v="4"/>
    <n v="1.31"/>
    <n v="2"/>
    <n v="1.06"/>
    <n v="2"/>
    <n v="1.85"/>
    <x v="0"/>
  </r>
  <r>
    <x v="0"/>
    <s v="阿蘇郡小国町"/>
    <x v="28"/>
    <x v="5"/>
    <n v="4"/>
    <n v="1.31"/>
    <n v="1"/>
    <n v="0.53"/>
    <n v="2"/>
    <n v="1.85"/>
    <x v="9"/>
  </r>
  <r>
    <x v="0"/>
    <s v="阿蘇郡小国町"/>
    <x v="28"/>
    <x v="6"/>
    <n v="74"/>
    <n v="24.18"/>
    <n v="42"/>
    <n v="22.22"/>
    <n v="31"/>
    <n v="28.7"/>
    <x v="0"/>
  </r>
  <r>
    <x v="0"/>
    <s v="阿蘇郡小国町"/>
    <x v="28"/>
    <x v="7"/>
    <n v="2"/>
    <n v="0.65"/>
    <n v="0"/>
    <n v="0"/>
    <n v="2"/>
    <n v="1.85"/>
    <x v="0"/>
  </r>
  <r>
    <x v="0"/>
    <s v="阿蘇郡小国町"/>
    <x v="28"/>
    <x v="8"/>
    <n v="21"/>
    <n v="6.86"/>
    <n v="12"/>
    <n v="6.35"/>
    <n v="9"/>
    <n v="8.33"/>
    <x v="0"/>
  </r>
  <r>
    <x v="0"/>
    <s v="阿蘇郡小国町"/>
    <x v="28"/>
    <x v="9"/>
    <n v="6"/>
    <n v="1.96"/>
    <n v="5"/>
    <n v="2.65"/>
    <n v="1"/>
    <n v="0.93"/>
    <x v="0"/>
  </r>
  <r>
    <x v="0"/>
    <s v="阿蘇郡小国町"/>
    <x v="28"/>
    <x v="10"/>
    <n v="65"/>
    <n v="21.24"/>
    <n v="50"/>
    <n v="26.46"/>
    <n v="15"/>
    <n v="13.89"/>
    <x v="0"/>
  </r>
  <r>
    <x v="0"/>
    <s v="阿蘇郡小国町"/>
    <x v="28"/>
    <x v="11"/>
    <n v="32"/>
    <n v="10.46"/>
    <n v="26"/>
    <n v="13.76"/>
    <n v="4"/>
    <n v="3.7"/>
    <x v="8"/>
  </r>
  <r>
    <x v="0"/>
    <s v="阿蘇郡小国町"/>
    <x v="28"/>
    <x v="12"/>
    <n v="4"/>
    <n v="1.31"/>
    <n v="2"/>
    <n v="1.06"/>
    <n v="1"/>
    <n v="0.93"/>
    <x v="0"/>
  </r>
  <r>
    <x v="0"/>
    <s v="阿蘇郡小国町"/>
    <x v="28"/>
    <x v="13"/>
    <n v="8"/>
    <n v="2.61"/>
    <n v="5"/>
    <n v="2.65"/>
    <n v="0"/>
    <n v="0"/>
    <x v="0"/>
  </r>
  <r>
    <x v="0"/>
    <s v="阿蘇郡小国町"/>
    <x v="28"/>
    <x v="14"/>
    <n v="10"/>
    <n v="3.27"/>
    <n v="3"/>
    <n v="1.59"/>
    <n v="6"/>
    <n v="5.56"/>
    <x v="9"/>
  </r>
  <r>
    <x v="0"/>
    <s v="阿蘇郡産山村"/>
    <x v="29"/>
    <x v="0"/>
    <n v="0"/>
    <n v="0"/>
    <n v="0"/>
    <n v="0"/>
    <n v="0"/>
    <n v="0"/>
    <x v="0"/>
  </r>
  <r>
    <x v="0"/>
    <s v="阿蘇郡産山村"/>
    <x v="29"/>
    <x v="1"/>
    <n v="6"/>
    <n v="13.04"/>
    <n v="1"/>
    <n v="4.3499999999999996"/>
    <n v="5"/>
    <n v="25"/>
    <x v="0"/>
  </r>
  <r>
    <x v="0"/>
    <s v="阿蘇郡産山村"/>
    <x v="29"/>
    <x v="2"/>
    <n v="3"/>
    <n v="6.52"/>
    <n v="1"/>
    <n v="4.3499999999999996"/>
    <n v="2"/>
    <n v="10"/>
    <x v="0"/>
  </r>
  <r>
    <x v="0"/>
    <s v="阿蘇郡産山村"/>
    <x v="29"/>
    <x v="3"/>
    <n v="1"/>
    <n v="2.17"/>
    <n v="0"/>
    <n v="0"/>
    <n v="1"/>
    <n v="5"/>
    <x v="0"/>
  </r>
  <r>
    <x v="0"/>
    <s v="阿蘇郡産山村"/>
    <x v="29"/>
    <x v="4"/>
    <n v="1"/>
    <n v="2.17"/>
    <n v="0"/>
    <n v="0"/>
    <n v="1"/>
    <n v="5"/>
    <x v="0"/>
  </r>
  <r>
    <x v="0"/>
    <s v="阿蘇郡産山村"/>
    <x v="29"/>
    <x v="5"/>
    <n v="0"/>
    <n v="0"/>
    <n v="0"/>
    <n v="0"/>
    <n v="0"/>
    <n v="0"/>
    <x v="0"/>
  </r>
  <r>
    <x v="0"/>
    <s v="阿蘇郡産山村"/>
    <x v="29"/>
    <x v="6"/>
    <n v="13"/>
    <n v="28.26"/>
    <n v="9"/>
    <n v="39.130000000000003"/>
    <n v="4"/>
    <n v="20"/>
    <x v="0"/>
  </r>
  <r>
    <x v="0"/>
    <s v="阿蘇郡産山村"/>
    <x v="29"/>
    <x v="7"/>
    <n v="0"/>
    <n v="0"/>
    <n v="0"/>
    <n v="0"/>
    <n v="0"/>
    <n v="0"/>
    <x v="0"/>
  </r>
  <r>
    <x v="0"/>
    <s v="阿蘇郡産山村"/>
    <x v="29"/>
    <x v="8"/>
    <n v="0"/>
    <n v="0"/>
    <n v="0"/>
    <n v="0"/>
    <n v="0"/>
    <n v="0"/>
    <x v="0"/>
  </r>
  <r>
    <x v="0"/>
    <s v="阿蘇郡産山村"/>
    <x v="29"/>
    <x v="9"/>
    <n v="3"/>
    <n v="6.52"/>
    <n v="2"/>
    <n v="8.6999999999999993"/>
    <n v="0"/>
    <n v="0"/>
    <x v="0"/>
  </r>
  <r>
    <x v="0"/>
    <s v="阿蘇郡産山村"/>
    <x v="29"/>
    <x v="10"/>
    <n v="9"/>
    <n v="19.57"/>
    <n v="5"/>
    <n v="21.74"/>
    <n v="3"/>
    <n v="15"/>
    <x v="0"/>
  </r>
  <r>
    <x v="0"/>
    <s v="阿蘇郡産山村"/>
    <x v="29"/>
    <x v="11"/>
    <n v="1"/>
    <n v="2.17"/>
    <n v="1"/>
    <n v="4.3499999999999996"/>
    <n v="0"/>
    <n v="0"/>
    <x v="0"/>
  </r>
  <r>
    <x v="0"/>
    <s v="阿蘇郡産山村"/>
    <x v="29"/>
    <x v="12"/>
    <n v="0"/>
    <n v="0"/>
    <n v="0"/>
    <n v="0"/>
    <n v="0"/>
    <n v="0"/>
    <x v="0"/>
  </r>
  <r>
    <x v="0"/>
    <s v="阿蘇郡産山村"/>
    <x v="29"/>
    <x v="13"/>
    <n v="5"/>
    <n v="10.87"/>
    <n v="1"/>
    <n v="4.3499999999999996"/>
    <n v="3"/>
    <n v="15"/>
    <x v="0"/>
  </r>
  <r>
    <x v="0"/>
    <s v="阿蘇郡産山村"/>
    <x v="29"/>
    <x v="14"/>
    <n v="4"/>
    <n v="8.6999999999999993"/>
    <n v="3"/>
    <n v="13.04"/>
    <n v="1"/>
    <n v="5"/>
    <x v="0"/>
  </r>
  <r>
    <x v="0"/>
    <s v="阿蘇郡高森町"/>
    <x v="30"/>
    <x v="0"/>
    <n v="1"/>
    <n v="0.52"/>
    <n v="0"/>
    <n v="0"/>
    <n v="1"/>
    <n v="1.39"/>
    <x v="0"/>
  </r>
  <r>
    <x v="0"/>
    <s v="阿蘇郡高森町"/>
    <x v="30"/>
    <x v="1"/>
    <n v="31"/>
    <n v="16.059999999999999"/>
    <n v="9"/>
    <n v="7.83"/>
    <n v="22"/>
    <n v="30.56"/>
    <x v="0"/>
  </r>
  <r>
    <x v="0"/>
    <s v="阿蘇郡高森町"/>
    <x v="30"/>
    <x v="2"/>
    <n v="12"/>
    <n v="6.22"/>
    <n v="6"/>
    <n v="5.22"/>
    <n v="6"/>
    <n v="8.33"/>
    <x v="0"/>
  </r>
  <r>
    <x v="0"/>
    <s v="阿蘇郡高森町"/>
    <x v="30"/>
    <x v="3"/>
    <n v="1"/>
    <n v="0.52"/>
    <n v="0"/>
    <n v="0"/>
    <n v="0"/>
    <n v="0"/>
    <x v="0"/>
  </r>
  <r>
    <x v="0"/>
    <s v="阿蘇郡高森町"/>
    <x v="30"/>
    <x v="4"/>
    <n v="1"/>
    <n v="0.52"/>
    <n v="0"/>
    <n v="0"/>
    <n v="1"/>
    <n v="1.39"/>
    <x v="0"/>
  </r>
  <r>
    <x v="0"/>
    <s v="阿蘇郡高森町"/>
    <x v="30"/>
    <x v="5"/>
    <n v="3"/>
    <n v="1.55"/>
    <n v="0"/>
    <n v="0"/>
    <n v="1"/>
    <n v="1.39"/>
    <x v="8"/>
  </r>
  <r>
    <x v="0"/>
    <s v="阿蘇郡高森町"/>
    <x v="30"/>
    <x v="6"/>
    <n v="55"/>
    <n v="28.5"/>
    <n v="35"/>
    <n v="30.43"/>
    <n v="20"/>
    <n v="27.78"/>
    <x v="0"/>
  </r>
  <r>
    <x v="0"/>
    <s v="阿蘇郡高森町"/>
    <x v="30"/>
    <x v="7"/>
    <n v="0"/>
    <n v="0"/>
    <n v="0"/>
    <n v="0"/>
    <n v="0"/>
    <n v="0"/>
    <x v="0"/>
  </r>
  <r>
    <x v="0"/>
    <s v="阿蘇郡高森町"/>
    <x v="30"/>
    <x v="8"/>
    <n v="7"/>
    <n v="3.63"/>
    <n v="2"/>
    <n v="1.74"/>
    <n v="5"/>
    <n v="6.94"/>
    <x v="0"/>
  </r>
  <r>
    <x v="0"/>
    <s v="阿蘇郡高森町"/>
    <x v="30"/>
    <x v="9"/>
    <n v="8"/>
    <n v="4.1500000000000004"/>
    <n v="7"/>
    <n v="6.09"/>
    <n v="1"/>
    <n v="1.39"/>
    <x v="0"/>
  </r>
  <r>
    <x v="0"/>
    <s v="阿蘇郡高森町"/>
    <x v="30"/>
    <x v="10"/>
    <n v="34"/>
    <n v="17.62"/>
    <n v="29"/>
    <n v="25.22"/>
    <n v="5"/>
    <n v="6.94"/>
    <x v="0"/>
  </r>
  <r>
    <x v="0"/>
    <s v="阿蘇郡高森町"/>
    <x v="30"/>
    <x v="11"/>
    <n v="22"/>
    <n v="11.4"/>
    <n v="16"/>
    <n v="13.91"/>
    <n v="5"/>
    <n v="6.94"/>
    <x v="9"/>
  </r>
  <r>
    <x v="0"/>
    <s v="阿蘇郡高森町"/>
    <x v="30"/>
    <x v="12"/>
    <n v="5"/>
    <n v="2.59"/>
    <n v="4"/>
    <n v="3.48"/>
    <n v="0"/>
    <n v="0"/>
    <x v="9"/>
  </r>
  <r>
    <x v="0"/>
    <s v="阿蘇郡高森町"/>
    <x v="30"/>
    <x v="13"/>
    <n v="8"/>
    <n v="4.1500000000000004"/>
    <n v="4"/>
    <n v="3.48"/>
    <n v="3"/>
    <n v="4.17"/>
    <x v="0"/>
  </r>
  <r>
    <x v="0"/>
    <s v="阿蘇郡高森町"/>
    <x v="30"/>
    <x v="14"/>
    <n v="5"/>
    <n v="2.59"/>
    <n v="3"/>
    <n v="2.61"/>
    <n v="2"/>
    <n v="2.78"/>
    <x v="0"/>
  </r>
  <r>
    <x v="0"/>
    <s v="阿蘇郡西原村"/>
    <x v="31"/>
    <x v="0"/>
    <n v="0"/>
    <n v="0"/>
    <n v="0"/>
    <n v="0"/>
    <n v="0"/>
    <n v="0"/>
    <x v="0"/>
  </r>
  <r>
    <x v="0"/>
    <s v="阿蘇郡西原村"/>
    <x v="31"/>
    <x v="1"/>
    <n v="39"/>
    <n v="21.43"/>
    <n v="13"/>
    <n v="14.29"/>
    <n v="26"/>
    <n v="28.89"/>
    <x v="0"/>
  </r>
  <r>
    <x v="0"/>
    <s v="阿蘇郡西原村"/>
    <x v="31"/>
    <x v="2"/>
    <n v="26"/>
    <n v="14.29"/>
    <n v="8"/>
    <n v="8.7899999999999991"/>
    <n v="18"/>
    <n v="20"/>
    <x v="0"/>
  </r>
  <r>
    <x v="0"/>
    <s v="阿蘇郡西原村"/>
    <x v="31"/>
    <x v="3"/>
    <n v="1"/>
    <n v="0.55000000000000004"/>
    <n v="0"/>
    <n v="0"/>
    <n v="0"/>
    <n v="0"/>
    <x v="0"/>
  </r>
  <r>
    <x v="0"/>
    <s v="阿蘇郡西原村"/>
    <x v="31"/>
    <x v="4"/>
    <n v="0"/>
    <n v="0"/>
    <n v="0"/>
    <n v="0"/>
    <n v="0"/>
    <n v="0"/>
    <x v="0"/>
  </r>
  <r>
    <x v="0"/>
    <s v="阿蘇郡西原村"/>
    <x v="31"/>
    <x v="5"/>
    <n v="0"/>
    <n v="0"/>
    <n v="0"/>
    <n v="0"/>
    <n v="0"/>
    <n v="0"/>
    <x v="0"/>
  </r>
  <r>
    <x v="0"/>
    <s v="阿蘇郡西原村"/>
    <x v="31"/>
    <x v="6"/>
    <n v="45"/>
    <n v="24.73"/>
    <n v="23"/>
    <n v="25.27"/>
    <n v="22"/>
    <n v="24.44"/>
    <x v="0"/>
  </r>
  <r>
    <x v="0"/>
    <s v="阿蘇郡西原村"/>
    <x v="31"/>
    <x v="7"/>
    <n v="0"/>
    <n v="0"/>
    <n v="0"/>
    <n v="0"/>
    <n v="0"/>
    <n v="0"/>
    <x v="0"/>
  </r>
  <r>
    <x v="0"/>
    <s v="阿蘇郡西原村"/>
    <x v="31"/>
    <x v="8"/>
    <n v="5"/>
    <n v="2.75"/>
    <n v="1"/>
    <n v="1.1000000000000001"/>
    <n v="4"/>
    <n v="4.4400000000000004"/>
    <x v="0"/>
  </r>
  <r>
    <x v="0"/>
    <s v="阿蘇郡西原村"/>
    <x v="31"/>
    <x v="9"/>
    <n v="5"/>
    <n v="2.75"/>
    <n v="2"/>
    <n v="2.2000000000000002"/>
    <n v="3"/>
    <n v="3.33"/>
    <x v="0"/>
  </r>
  <r>
    <x v="0"/>
    <s v="阿蘇郡西原村"/>
    <x v="31"/>
    <x v="10"/>
    <n v="33"/>
    <n v="18.13"/>
    <n v="25"/>
    <n v="27.47"/>
    <n v="8"/>
    <n v="8.89"/>
    <x v="0"/>
  </r>
  <r>
    <x v="0"/>
    <s v="阿蘇郡西原村"/>
    <x v="31"/>
    <x v="11"/>
    <n v="15"/>
    <n v="8.24"/>
    <n v="14"/>
    <n v="15.38"/>
    <n v="1"/>
    <n v="1.1100000000000001"/>
    <x v="0"/>
  </r>
  <r>
    <x v="0"/>
    <s v="阿蘇郡西原村"/>
    <x v="31"/>
    <x v="12"/>
    <n v="3"/>
    <n v="1.65"/>
    <n v="1"/>
    <n v="1.1000000000000001"/>
    <n v="2"/>
    <n v="2.2200000000000002"/>
    <x v="0"/>
  </r>
  <r>
    <x v="0"/>
    <s v="阿蘇郡西原村"/>
    <x v="31"/>
    <x v="13"/>
    <n v="1"/>
    <n v="0.55000000000000004"/>
    <n v="1"/>
    <n v="1.1000000000000001"/>
    <n v="0"/>
    <n v="0"/>
    <x v="0"/>
  </r>
  <r>
    <x v="0"/>
    <s v="阿蘇郡西原村"/>
    <x v="31"/>
    <x v="14"/>
    <n v="9"/>
    <n v="4.95"/>
    <n v="3"/>
    <n v="3.3"/>
    <n v="6"/>
    <n v="6.67"/>
    <x v="0"/>
  </r>
  <r>
    <x v="0"/>
    <s v="阿蘇郡南阿蘇村"/>
    <x v="32"/>
    <x v="0"/>
    <n v="0"/>
    <n v="0"/>
    <n v="0"/>
    <n v="0"/>
    <n v="0"/>
    <n v="0"/>
    <x v="0"/>
  </r>
  <r>
    <x v="0"/>
    <s v="阿蘇郡南阿蘇村"/>
    <x v="32"/>
    <x v="1"/>
    <n v="41"/>
    <n v="12.39"/>
    <n v="8"/>
    <n v="3.72"/>
    <n v="33"/>
    <n v="30"/>
    <x v="0"/>
  </r>
  <r>
    <x v="0"/>
    <s v="阿蘇郡南阿蘇村"/>
    <x v="32"/>
    <x v="2"/>
    <n v="18"/>
    <n v="5.44"/>
    <n v="11"/>
    <n v="5.12"/>
    <n v="7"/>
    <n v="6.36"/>
    <x v="0"/>
  </r>
  <r>
    <x v="0"/>
    <s v="阿蘇郡南阿蘇村"/>
    <x v="32"/>
    <x v="3"/>
    <n v="0"/>
    <n v="0"/>
    <n v="0"/>
    <n v="0"/>
    <n v="0"/>
    <n v="0"/>
    <x v="0"/>
  </r>
  <r>
    <x v="0"/>
    <s v="阿蘇郡南阿蘇村"/>
    <x v="32"/>
    <x v="4"/>
    <n v="4"/>
    <n v="1.21"/>
    <n v="0"/>
    <n v="0"/>
    <n v="4"/>
    <n v="3.64"/>
    <x v="0"/>
  </r>
  <r>
    <x v="0"/>
    <s v="阿蘇郡南阿蘇村"/>
    <x v="32"/>
    <x v="5"/>
    <n v="5"/>
    <n v="1.51"/>
    <n v="0"/>
    <n v="0"/>
    <n v="4"/>
    <n v="3.64"/>
    <x v="0"/>
  </r>
  <r>
    <x v="0"/>
    <s v="阿蘇郡南阿蘇村"/>
    <x v="32"/>
    <x v="6"/>
    <n v="86"/>
    <n v="25.98"/>
    <n v="57"/>
    <n v="26.51"/>
    <n v="29"/>
    <n v="26.36"/>
    <x v="0"/>
  </r>
  <r>
    <x v="0"/>
    <s v="阿蘇郡南阿蘇村"/>
    <x v="32"/>
    <x v="7"/>
    <n v="0"/>
    <n v="0"/>
    <n v="0"/>
    <n v="0"/>
    <n v="0"/>
    <n v="0"/>
    <x v="0"/>
  </r>
  <r>
    <x v="0"/>
    <s v="阿蘇郡南阿蘇村"/>
    <x v="32"/>
    <x v="8"/>
    <n v="15"/>
    <n v="4.53"/>
    <n v="4"/>
    <n v="1.86"/>
    <n v="10"/>
    <n v="9.09"/>
    <x v="0"/>
  </r>
  <r>
    <x v="0"/>
    <s v="阿蘇郡南阿蘇村"/>
    <x v="32"/>
    <x v="9"/>
    <n v="11"/>
    <n v="3.32"/>
    <n v="4"/>
    <n v="1.86"/>
    <n v="6"/>
    <n v="5.45"/>
    <x v="0"/>
  </r>
  <r>
    <x v="0"/>
    <s v="阿蘇郡南阿蘇村"/>
    <x v="32"/>
    <x v="10"/>
    <n v="88"/>
    <n v="26.59"/>
    <n v="80"/>
    <n v="37.21"/>
    <n v="8"/>
    <n v="7.27"/>
    <x v="0"/>
  </r>
  <r>
    <x v="0"/>
    <s v="阿蘇郡南阿蘇村"/>
    <x v="32"/>
    <x v="11"/>
    <n v="33"/>
    <n v="9.9700000000000006"/>
    <n v="29"/>
    <n v="13.49"/>
    <n v="3"/>
    <n v="2.73"/>
    <x v="0"/>
  </r>
  <r>
    <x v="0"/>
    <s v="阿蘇郡南阿蘇村"/>
    <x v="32"/>
    <x v="12"/>
    <n v="9"/>
    <n v="2.72"/>
    <n v="7"/>
    <n v="3.26"/>
    <n v="2"/>
    <n v="1.82"/>
    <x v="0"/>
  </r>
  <r>
    <x v="0"/>
    <s v="阿蘇郡南阿蘇村"/>
    <x v="32"/>
    <x v="13"/>
    <n v="10"/>
    <n v="3.02"/>
    <n v="7"/>
    <n v="3.26"/>
    <n v="2"/>
    <n v="1.82"/>
    <x v="0"/>
  </r>
  <r>
    <x v="0"/>
    <s v="阿蘇郡南阿蘇村"/>
    <x v="32"/>
    <x v="14"/>
    <n v="11"/>
    <n v="3.32"/>
    <n v="8"/>
    <n v="3.72"/>
    <n v="2"/>
    <n v="1.82"/>
    <x v="9"/>
  </r>
  <r>
    <x v="0"/>
    <s v="上益城郡御船町"/>
    <x v="33"/>
    <x v="0"/>
    <n v="0"/>
    <n v="0"/>
    <n v="0"/>
    <n v="0"/>
    <n v="0"/>
    <n v="0"/>
    <x v="0"/>
  </r>
  <r>
    <x v="0"/>
    <s v="上益城郡御船町"/>
    <x v="33"/>
    <x v="1"/>
    <n v="96"/>
    <n v="24.43"/>
    <n v="34"/>
    <n v="17.09"/>
    <n v="62"/>
    <n v="32.29"/>
    <x v="0"/>
  </r>
  <r>
    <x v="0"/>
    <s v="上益城郡御船町"/>
    <x v="33"/>
    <x v="2"/>
    <n v="34"/>
    <n v="8.65"/>
    <n v="20"/>
    <n v="10.050000000000001"/>
    <n v="14"/>
    <n v="7.29"/>
    <x v="0"/>
  </r>
  <r>
    <x v="0"/>
    <s v="上益城郡御船町"/>
    <x v="33"/>
    <x v="3"/>
    <n v="1"/>
    <n v="0.25"/>
    <n v="0"/>
    <n v="0"/>
    <n v="1"/>
    <n v="0.52"/>
    <x v="0"/>
  </r>
  <r>
    <x v="0"/>
    <s v="上益城郡御船町"/>
    <x v="33"/>
    <x v="4"/>
    <n v="2"/>
    <n v="0.51"/>
    <n v="0"/>
    <n v="0"/>
    <n v="2"/>
    <n v="1.04"/>
    <x v="0"/>
  </r>
  <r>
    <x v="0"/>
    <s v="上益城郡御船町"/>
    <x v="33"/>
    <x v="5"/>
    <n v="6"/>
    <n v="1.53"/>
    <n v="1"/>
    <n v="0.5"/>
    <n v="5"/>
    <n v="2.6"/>
    <x v="0"/>
  </r>
  <r>
    <x v="0"/>
    <s v="上益城郡御船町"/>
    <x v="33"/>
    <x v="6"/>
    <n v="102"/>
    <n v="25.95"/>
    <n v="51"/>
    <n v="25.63"/>
    <n v="51"/>
    <n v="26.56"/>
    <x v="0"/>
  </r>
  <r>
    <x v="0"/>
    <s v="上益城郡御船町"/>
    <x v="33"/>
    <x v="7"/>
    <n v="1"/>
    <n v="0.25"/>
    <n v="0"/>
    <n v="0"/>
    <n v="1"/>
    <n v="0.52"/>
    <x v="0"/>
  </r>
  <r>
    <x v="0"/>
    <s v="上益城郡御船町"/>
    <x v="33"/>
    <x v="8"/>
    <n v="18"/>
    <n v="4.58"/>
    <n v="5"/>
    <n v="2.5099999999999998"/>
    <n v="13"/>
    <n v="6.77"/>
    <x v="0"/>
  </r>
  <r>
    <x v="0"/>
    <s v="上益城郡御船町"/>
    <x v="33"/>
    <x v="9"/>
    <n v="14"/>
    <n v="3.56"/>
    <n v="8"/>
    <n v="4.0199999999999996"/>
    <n v="5"/>
    <n v="2.6"/>
    <x v="0"/>
  </r>
  <r>
    <x v="0"/>
    <s v="上益城郡御船町"/>
    <x v="33"/>
    <x v="10"/>
    <n v="30"/>
    <n v="7.63"/>
    <n v="27"/>
    <n v="13.57"/>
    <n v="2"/>
    <n v="1.04"/>
    <x v="0"/>
  </r>
  <r>
    <x v="0"/>
    <s v="上益城郡御船町"/>
    <x v="33"/>
    <x v="11"/>
    <n v="41"/>
    <n v="10.43"/>
    <n v="30"/>
    <n v="15.08"/>
    <n v="11"/>
    <n v="5.73"/>
    <x v="0"/>
  </r>
  <r>
    <x v="0"/>
    <s v="上益城郡御船町"/>
    <x v="33"/>
    <x v="12"/>
    <n v="7"/>
    <n v="1.78"/>
    <n v="3"/>
    <n v="1.51"/>
    <n v="4"/>
    <n v="2.08"/>
    <x v="0"/>
  </r>
  <r>
    <x v="0"/>
    <s v="上益城郡御船町"/>
    <x v="33"/>
    <x v="13"/>
    <n v="17"/>
    <n v="4.33"/>
    <n v="8"/>
    <n v="4.0199999999999996"/>
    <n v="9"/>
    <n v="4.6900000000000004"/>
    <x v="0"/>
  </r>
  <r>
    <x v="0"/>
    <s v="上益城郡御船町"/>
    <x v="33"/>
    <x v="14"/>
    <n v="24"/>
    <n v="6.11"/>
    <n v="12"/>
    <n v="6.03"/>
    <n v="12"/>
    <n v="6.25"/>
    <x v="0"/>
  </r>
  <r>
    <x v="0"/>
    <s v="上益城郡嘉島町"/>
    <x v="34"/>
    <x v="0"/>
    <n v="0"/>
    <n v="0"/>
    <n v="0"/>
    <n v="0"/>
    <n v="0"/>
    <n v="0"/>
    <x v="0"/>
  </r>
  <r>
    <x v="0"/>
    <s v="上益城郡嘉島町"/>
    <x v="34"/>
    <x v="1"/>
    <n v="39"/>
    <n v="14.08"/>
    <n v="13"/>
    <n v="14.77"/>
    <n v="26"/>
    <n v="13.83"/>
    <x v="0"/>
  </r>
  <r>
    <x v="0"/>
    <s v="上益城郡嘉島町"/>
    <x v="34"/>
    <x v="2"/>
    <n v="15"/>
    <n v="5.42"/>
    <n v="2"/>
    <n v="2.27"/>
    <n v="13"/>
    <n v="6.91"/>
    <x v="0"/>
  </r>
  <r>
    <x v="0"/>
    <s v="上益城郡嘉島町"/>
    <x v="34"/>
    <x v="3"/>
    <n v="2"/>
    <n v="0.72"/>
    <n v="0"/>
    <n v="0"/>
    <n v="2"/>
    <n v="1.06"/>
    <x v="0"/>
  </r>
  <r>
    <x v="0"/>
    <s v="上益城郡嘉島町"/>
    <x v="34"/>
    <x v="4"/>
    <n v="1"/>
    <n v="0.36"/>
    <n v="0"/>
    <n v="0"/>
    <n v="1"/>
    <n v="0.53"/>
    <x v="0"/>
  </r>
  <r>
    <x v="0"/>
    <s v="上益城郡嘉島町"/>
    <x v="34"/>
    <x v="5"/>
    <n v="2"/>
    <n v="0.72"/>
    <n v="2"/>
    <n v="2.27"/>
    <n v="0"/>
    <n v="0"/>
    <x v="0"/>
  </r>
  <r>
    <x v="0"/>
    <s v="上益城郡嘉島町"/>
    <x v="34"/>
    <x v="6"/>
    <n v="107"/>
    <n v="38.630000000000003"/>
    <n v="22"/>
    <n v="25"/>
    <n v="85"/>
    <n v="45.21"/>
    <x v="0"/>
  </r>
  <r>
    <x v="0"/>
    <s v="上益城郡嘉島町"/>
    <x v="34"/>
    <x v="7"/>
    <n v="3"/>
    <n v="1.08"/>
    <n v="0"/>
    <n v="0"/>
    <n v="3"/>
    <n v="1.6"/>
    <x v="0"/>
  </r>
  <r>
    <x v="0"/>
    <s v="上益城郡嘉島町"/>
    <x v="34"/>
    <x v="8"/>
    <n v="33"/>
    <n v="11.91"/>
    <n v="18"/>
    <n v="20.45"/>
    <n v="15"/>
    <n v="7.98"/>
    <x v="0"/>
  </r>
  <r>
    <x v="0"/>
    <s v="上益城郡嘉島町"/>
    <x v="34"/>
    <x v="9"/>
    <n v="10"/>
    <n v="3.61"/>
    <n v="2"/>
    <n v="2.27"/>
    <n v="8"/>
    <n v="4.26"/>
    <x v="0"/>
  </r>
  <r>
    <x v="0"/>
    <s v="上益城郡嘉島町"/>
    <x v="34"/>
    <x v="10"/>
    <n v="12"/>
    <n v="4.33"/>
    <n v="5"/>
    <n v="5.68"/>
    <n v="7"/>
    <n v="3.72"/>
    <x v="0"/>
  </r>
  <r>
    <x v="0"/>
    <s v="上益城郡嘉島町"/>
    <x v="34"/>
    <x v="11"/>
    <n v="24"/>
    <n v="8.66"/>
    <n v="12"/>
    <n v="13.64"/>
    <n v="12"/>
    <n v="6.38"/>
    <x v="0"/>
  </r>
  <r>
    <x v="0"/>
    <s v="上益城郡嘉島町"/>
    <x v="34"/>
    <x v="12"/>
    <n v="5"/>
    <n v="1.81"/>
    <n v="4"/>
    <n v="4.55"/>
    <n v="1"/>
    <n v="0.53"/>
    <x v="0"/>
  </r>
  <r>
    <x v="0"/>
    <s v="上益城郡嘉島町"/>
    <x v="34"/>
    <x v="13"/>
    <n v="10"/>
    <n v="3.61"/>
    <n v="3"/>
    <n v="3.41"/>
    <n v="7"/>
    <n v="3.72"/>
    <x v="0"/>
  </r>
  <r>
    <x v="0"/>
    <s v="上益城郡嘉島町"/>
    <x v="34"/>
    <x v="14"/>
    <n v="14"/>
    <n v="5.05"/>
    <n v="5"/>
    <n v="5.68"/>
    <n v="8"/>
    <n v="4.26"/>
    <x v="0"/>
  </r>
  <r>
    <x v="0"/>
    <s v="上益城郡益城町"/>
    <x v="35"/>
    <x v="0"/>
    <n v="0"/>
    <n v="0"/>
    <n v="0"/>
    <n v="0"/>
    <n v="0"/>
    <n v="0"/>
    <x v="0"/>
  </r>
  <r>
    <x v="0"/>
    <s v="上益城郡益城町"/>
    <x v="35"/>
    <x v="1"/>
    <n v="141"/>
    <n v="26.06"/>
    <n v="48"/>
    <n v="18.53"/>
    <n v="93"/>
    <n v="33.450000000000003"/>
    <x v="0"/>
  </r>
  <r>
    <x v="0"/>
    <s v="上益城郡益城町"/>
    <x v="35"/>
    <x v="2"/>
    <n v="36"/>
    <n v="6.65"/>
    <n v="13"/>
    <n v="5.0199999999999996"/>
    <n v="23"/>
    <n v="8.27"/>
    <x v="0"/>
  </r>
  <r>
    <x v="0"/>
    <s v="上益城郡益城町"/>
    <x v="35"/>
    <x v="3"/>
    <n v="0"/>
    <n v="0"/>
    <n v="0"/>
    <n v="0"/>
    <n v="0"/>
    <n v="0"/>
    <x v="0"/>
  </r>
  <r>
    <x v="0"/>
    <s v="上益城郡益城町"/>
    <x v="35"/>
    <x v="4"/>
    <n v="5"/>
    <n v="0.92"/>
    <n v="0"/>
    <n v="0"/>
    <n v="5"/>
    <n v="1.8"/>
    <x v="0"/>
  </r>
  <r>
    <x v="0"/>
    <s v="上益城郡益城町"/>
    <x v="35"/>
    <x v="5"/>
    <n v="15"/>
    <n v="2.77"/>
    <n v="4"/>
    <n v="1.54"/>
    <n v="11"/>
    <n v="3.96"/>
    <x v="0"/>
  </r>
  <r>
    <x v="0"/>
    <s v="上益城郡益城町"/>
    <x v="35"/>
    <x v="6"/>
    <n v="109"/>
    <n v="20.149999999999999"/>
    <n v="47"/>
    <n v="18.149999999999999"/>
    <n v="62"/>
    <n v="22.3"/>
    <x v="0"/>
  </r>
  <r>
    <x v="0"/>
    <s v="上益城郡益城町"/>
    <x v="35"/>
    <x v="7"/>
    <n v="6"/>
    <n v="1.1100000000000001"/>
    <n v="3"/>
    <n v="1.1599999999999999"/>
    <n v="3"/>
    <n v="1.08"/>
    <x v="0"/>
  </r>
  <r>
    <x v="0"/>
    <s v="上益城郡益城町"/>
    <x v="35"/>
    <x v="8"/>
    <n v="41"/>
    <n v="7.58"/>
    <n v="11"/>
    <n v="4.25"/>
    <n v="28"/>
    <n v="10.07"/>
    <x v="9"/>
  </r>
  <r>
    <x v="0"/>
    <s v="上益城郡益城町"/>
    <x v="35"/>
    <x v="9"/>
    <n v="32"/>
    <n v="5.91"/>
    <n v="17"/>
    <n v="6.56"/>
    <n v="15"/>
    <n v="5.4"/>
    <x v="0"/>
  </r>
  <r>
    <x v="0"/>
    <s v="上益城郡益城町"/>
    <x v="35"/>
    <x v="10"/>
    <n v="25"/>
    <n v="4.62"/>
    <n v="21"/>
    <n v="8.11"/>
    <n v="4"/>
    <n v="1.44"/>
    <x v="0"/>
  </r>
  <r>
    <x v="0"/>
    <s v="上益城郡益城町"/>
    <x v="35"/>
    <x v="11"/>
    <n v="53"/>
    <n v="9.8000000000000007"/>
    <n v="44"/>
    <n v="16.989999999999998"/>
    <n v="8"/>
    <n v="2.88"/>
    <x v="0"/>
  </r>
  <r>
    <x v="0"/>
    <s v="上益城郡益城町"/>
    <x v="35"/>
    <x v="12"/>
    <n v="21"/>
    <n v="3.88"/>
    <n v="18"/>
    <n v="6.95"/>
    <n v="3"/>
    <n v="1.08"/>
    <x v="0"/>
  </r>
  <r>
    <x v="0"/>
    <s v="上益城郡益城町"/>
    <x v="35"/>
    <x v="13"/>
    <n v="26"/>
    <n v="4.8099999999999996"/>
    <n v="18"/>
    <n v="6.95"/>
    <n v="8"/>
    <n v="2.88"/>
    <x v="0"/>
  </r>
  <r>
    <x v="0"/>
    <s v="上益城郡益城町"/>
    <x v="35"/>
    <x v="14"/>
    <n v="31"/>
    <n v="5.73"/>
    <n v="15"/>
    <n v="5.79"/>
    <n v="15"/>
    <n v="5.4"/>
    <x v="9"/>
  </r>
  <r>
    <x v="0"/>
    <s v="上益城郡甲佐町"/>
    <x v="36"/>
    <x v="0"/>
    <n v="0"/>
    <n v="0"/>
    <n v="0"/>
    <n v="0"/>
    <n v="0"/>
    <n v="0"/>
    <x v="0"/>
  </r>
  <r>
    <x v="0"/>
    <s v="上益城郡甲佐町"/>
    <x v="36"/>
    <x v="1"/>
    <n v="73"/>
    <n v="25.17"/>
    <n v="29"/>
    <n v="18.829999999999998"/>
    <n v="44"/>
    <n v="32.35"/>
    <x v="0"/>
  </r>
  <r>
    <x v="0"/>
    <s v="上益城郡甲佐町"/>
    <x v="36"/>
    <x v="2"/>
    <n v="26"/>
    <n v="8.9700000000000006"/>
    <n v="7"/>
    <n v="4.55"/>
    <n v="19"/>
    <n v="13.97"/>
    <x v="0"/>
  </r>
  <r>
    <x v="0"/>
    <s v="上益城郡甲佐町"/>
    <x v="36"/>
    <x v="3"/>
    <n v="0"/>
    <n v="0"/>
    <n v="0"/>
    <n v="0"/>
    <n v="0"/>
    <n v="0"/>
    <x v="0"/>
  </r>
  <r>
    <x v="0"/>
    <s v="上益城郡甲佐町"/>
    <x v="36"/>
    <x v="4"/>
    <n v="1"/>
    <n v="0.34"/>
    <n v="0"/>
    <n v="0"/>
    <n v="1"/>
    <n v="0.74"/>
    <x v="0"/>
  </r>
  <r>
    <x v="0"/>
    <s v="上益城郡甲佐町"/>
    <x v="36"/>
    <x v="5"/>
    <n v="3"/>
    <n v="1.03"/>
    <n v="0"/>
    <n v="0"/>
    <n v="3"/>
    <n v="2.21"/>
    <x v="0"/>
  </r>
  <r>
    <x v="0"/>
    <s v="上益城郡甲佐町"/>
    <x v="36"/>
    <x v="6"/>
    <n v="81"/>
    <n v="27.93"/>
    <n v="47"/>
    <n v="30.52"/>
    <n v="34"/>
    <n v="25"/>
    <x v="0"/>
  </r>
  <r>
    <x v="0"/>
    <s v="上益城郡甲佐町"/>
    <x v="36"/>
    <x v="7"/>
    <n v="1"/>
    <n v="0.34"/>
    <n v="0"/>
    <n v="0"/>
    <n v="1"/>
    <n v="0.74"/>
    <x v="0"/>
  </r>
  <r>
    <x v="0"/>
    <s v="上益城郡甲佐町"/>
    <x v="36"/>
    <x v="8"/>
    <n v="12"/>
    <n v="4.1399999999999997"/>
    <n v="6"/>
    <n v="3.9"/>
    <n v="6"/>
    <n v="4.41"/>
    <x v="0"/>
  </r>
  <r>
    <x v="0"/>
    <s v="上益城郡甲佐町"/>
    <x v="36"/>
    <x v="9"/>
    <n v="5"/>
    <n v="1.72"/>
    <n v="2"/>
    <n v="1.3"/>
    <n v="3"/>
    <n v="2.21"/>
    <x v="0"/>
  </r>
  <r>
    <x v="0"/>
    <s v="上益城郡甲佐町"/>
    <x v="36"/>
    <x v="10"/>
    <n v="15"/>
    <n v="5.17"/>
    <n v="13"/>
    <n v="8.44"/>
    <n v="2"/>
    <n v="1.47"/>
    <x v="0"/>
  </r>
  <r>
    <x v="0"/>
    <s v="上益城郡甲佐町"/>
    <x v="36"/>
    <x v="11"/>
    <n v="35"/>
    <n v="12.07"/>
    <n v="33"/>
    <n v="21.43"/>
    <n v="2"/>
    <n v="1.47"/>
    <x v="0"/>
  </r>
  <r>
    <x v="0"/>
    <s v="上益城郡甲佐町"/>
    <x v="36"/>
    <x v="12"/>
    <n v="4"/>
    <n v="1.38"/>
    <n v="3"/>
    <n v="1.95"/>
    <n v="1"/>
    <n v="0.74"/>
    <x v="0"/>
  </r>
  <r>
    <x v="0"/>
    <s v="上益城郡甲佐町"/>
    <x v="36"/>
    <x v="13"/>
    <n v="13"/>
    <n v="4.4800000000000004"/>
    <n v="2"/>
    <n v="1.3"/>
    <n v="11"/>
    <n v="8.09"/>
    <x v="0"/>
  </r>
  <r>
    <x v="0"/>
    <s v="上益城郡甲佐町"/>
    <x v="36"/>
    <x v="14"/>
    <n v="21"/>
    <n v="7.24"/>
    <n v="12"/>
    <n v="7.79"/>
    <n v="9"/>
    <n v="6.62"/>
    <x v="0"/>
  </r>
  <r>
    <x v="0"/>
    <s v="上益城郡山都町"/>
    <x v="37"/>
    <x v="0"/>
    <n v="1"/>
    <n v="0.25"/>
    <n v="0"/>
    <n v="0"/>
    <n v="1"/>
    <n v="0.66"/>
    <x v="0"/>
  </r>
  <r>
    <x v="0"/>
    <s v="上益城郡山都町"/>
    <x v="37"/>
    <x v="1"/>
    <n v="48"/>
    <n v="12.09"/>
    <n v="21"/>
    <n v="8.9"/>
    <n v="27"/>
    <n v="17.760000000000002"/>
    <x v="0"/>
  </r>
  <r>
    <x v="0"/>
    <s v="上益城郡山都町"/>
    <x v="37"/>
    <x v="2"/>
    <n v="23"/>
    <n v="5.79"/>
    <n v="8"/>
    <n v="3.39"/>
    <n v="14"/>
    <n v="9.2100000000000009"/>
    <x v="9"/>
  </r>
  <r>
    <x v="0"/>
    <s v="上益城郡山都町"/>
    <x v="37"/>
    <x v="3"/>
    <n v="1"/>
    <n v="0.25"/>
    <n v="0"/>
    <n v="0"/>
    <n v="1"/>
    <n v="0.66"/>
    <x v="0"/>
  </r>
  <r>
    <x v="0"/>
    <s v="上益城郡山都町"/>
    <x v="37"/>
    <x v="4"/>
    <n v="1"/>
    <n v="0.25"/>
    <n v="0"/>
    <n v="0"/>
    <n v="1"/>
    <n v="0.66"/>
    <x v="0"/>
  </r>
  <r>
    <x v="0"/>
    <s v="上益城郡山都町"/>
    <x v="37"/>
    <x v="5"/>
    <n v="6"/>
    <n v="1.51"/>
    <n v="0"/>
    <n v="0"/>
    <n v="6"/>
    <n v="3.95"/>
    <x v="0"/>
  </r>
  <r>
    <x v="0"/>
    <s v="上益城郡山都町"/>
    <x v="37"/>
    <x v="6"/>
    <n v="121"/>
    <n v="30.48"/>
    <n v="71"/>
    <n v="30.08"/>
    <n v="49"/>
    <n v="32.24"/>
    <x v="9"/>
  </r>
  <r>
    <x v="0"/>
    <s v="上益城郡山都町"/>
    <x v="37"/>
    <x v="7"/>
    <n v="1"/>
    <n v="0.25"/>
    <n v="0"/>
    <n v="0"/>
    <n v="1"/>
    <n v="0.66"/>
    <x v="0"/>
  </r>
  <r>
    <x v="0"/>
    <s v="上益城郡山都町"/>
    <x v="37"/>
    <x v="8"/>
    <n v="18"/>
    <n v="4.53"/>
    <n v="11"/>
    <n v="4.66"/>
    <n v="7"/>
    <n v="4.6100000000000003"/>
    <x v="0"/>
  </r>
  <r>
    <x v="0"/>
    <s v="上益城郡山都町"/>
    <x v="37"/>
    <x v="9"/>
    <n v="20"/>
    <n v="5.04"/>
    <n v="13"/>
    <n v="5.51"/>
    <n v="7"/>
    <n v="4.6100000000000003"/>
    <x v="0"/>
  </r>
  <r>
    <x v="0"/>
    <s v="上益城郡山都町"/>
    <x v="37"/>
    <x v="10"/>
    <n v="70"/>
    <n v="17.63"/>
    <n v="58"/>
    <n v="24.58"/>
    <n v="10"/>
    <n v="6.58"/>
    <x v="8"/>
  </r>
  <r>
    <x v="0"/>
    <s v="上益城郡山都町"/>
    <x v="37"/>
    <x v="11"/>
    <n v="45"/>
    <n v="11.34"/>
    <n v="38"/>
    <n v="16.100000000000001"/>
    <n v="7"/>
    <n v="4.6100000000000003"/>
    <x v="0"/>
  </r>
  <r>
    <x v="0"/>
    <s v="上益城郡山都町"/>
    <x v="37"/>
    <x v="12"/>
    <n v="4"/>
    <n v="1.01"/>
    <n v="3"/>
    <n v="1.27"/>
    <n v="1"/>
    <n v="0.66"/>
    <x v="0"/>
  </r>
  <r>
    <x v="0"/>
    <s v="上益城郡山都町"/>
    <x v="37"/>
    <x v="13"/>
    <n v="20"/>
    <n v="5.04"/>
    <n v="3"/>
    <n v="1.27"/>
    <n v="12"/>
    <n v="7.89"/>
    <x v="9"/>
  </r>
  <r>
    <x v="0"/>
    <s v="上益城郡山都町"/>
    <x v="37"/>
    <x v="14"/>
    <n v="18"/>
    <n v="4.53"/>
    <n v="10"/>
    <n v="4.24"/>
    <n v="8"/>
    <n v="5.26"/>
    <x v="0"/>
  </r>
  <r>
    <x v="0"/>
    <s v="八代郡氷川町"/>
    <x v="38"/>
    <x v="0"/>
    <n v="0"/>
    <n v="0"/>
    <n v="0"/>
    <n v="0"/>
    <n v="0"/>
    <n v="0"/>
    <x v="0"/>
  </r>
  <r>
    <x v="0"/>
    <s v="八代郡氷川町"/>
    <x v="38"/>
    <x v="1"/>
    <n v="56"/>
    <n v="19.510000000000002"/>
    <n v="32"/>
    <n v="17.88"/>
    <n v="24"/>
    <n v="23.3"/>
    <x v="0"/>
  </r>
  <r>
    <x v="0"/>
    <s v="八代郡氷川町"/>
    <x v="38"/>
    <x v="2"/>
    <n v="31"/>
    <n v="10.8"/>
    <n v="14"/>
    <n v="7.82"/>
    <n v="17"/>
    <n v="16.5"/>
    <x v="0"/>
  </r>
  <r>
    <x v="0"/>
    <s v="八代郡氷川町"/>
    <x v="38"/>
    <x v="3"/>
    <n v="1"/>
    <n v="0.35"/>
    <n v="0"/>
    <n v="0"/>
    <n v="1"/>
    <n v="0.97"/>
    <x v="0"/>
  </r>
  <r>
    <x v="0"/>
    <s v="八代郡氷川町"/>
    <x v="38"/>
    <x v="4"/>
    <n v="4"/>
    <n v="1.39"/>
    <n v="1"/>
    <n v="0.56000000000000005"/>
    <n v="3"/>
    <n v="2.91"/>
    <x v="0"/>
  </r>
  <r>
    <x v="0"/>
    <s v="八代郡氷川町"/>
    <x v="38"/>
    <x v="5"/>
    <n v="0"/>
    <n v="0"/>
    <n v="0"/>
    <n v="0"/>
    <n v="0"/>
    <n v="0"/>
    <x v="0"/>
  </r>
  <r>
    <x v="0"/>
    <s v="八代郡氷川町"/>
    <x v="38"/>
    <x v="6"/>
    <n v="69"/>
    <n v="24.04"/>
    <n v="41"/>
    <n v="22.91"/>
    <n v="28"/>
    <n v="27.18"/>
    <x v="0"/>
  </r>
  <r>
    <x v="0"/>
    <s v="八代郡氷川町"/>
    <x v="38"/>
    <x v="7"/>
    <n v="0"/>
    <n v="0"/>
    <n v="0"/>
    <n v="0"/>
    <n v="0"/>
    <n v="0"/>
    <x v="0"/>
  </r>
  <r>
    <x v="0"/>
    <s v="八代郡氷川町"/>
    <x v="38"/>
    <x v="8"/>
    <n v="10"/>
    <n v="3.48"/>
    <n v="7"/>
    <n v="3.91"/>
    <n v="3"/>
    <n v="2.91"/>
    <x v="0"/>
  </r>
  <r>
    <x v="0"/>
    <s v="八代郡氷川町"/>
    <x v="38"/>
    <x v="9"/>
    <n v="9"/>
    <n v="3.14"/>
    <n v="6"/>
    <n v="3.35"/>
    <n v="3"/>
    <n v="2.91"/>
    <x v="0"/>
  </r>
  <r>
    <x v="0"/>
    <s v="八代郡氷川町"/>
    <x v="38"/>
    <x v="10"/>
    <n v="20"/>
    <n v="6.97"/>
    <n v="17"/>
    <n v="9.5"/>
    <n v="3"/>
    <n v="2.91"/>
    <x v="0"/>
  </r>
  <r>
    <x v="0"/>
    <s v="八代郡氷川町"/>
    <x v="38"/>
    <x v="11"/>
    <n v="28"/>
    <n v="9.76"/>
    <n v="28"/>
    <n v="15.64"/>
    <n v="0"/>
    <n v="0"/>
    <x v="0"/>
  </r>
  <r>
    <x v="0"/>
    <s v="八代郡氷川町"/>
    <x v="38"/>
    <x v="12"/>
    <n v="12"/>
    <n v="4.18"/>
    <n v="10"/>
    <n v="5.59"/>
    <n v="0"/>
    <n v="0"/>
    <x v="0"/>
  </r>
  <r>
    <x v="0"/>
    <s v="八代郡氷川町"/>
    <x v="38"/>
    <x v="13"/>
    <n v="24"/>
    <n v="8.36"/>
    <n v="10"/>
    <n v="5.59"/>
    <n v="12"/>
    <n v="11.65"/>
    <x v="9"/>
  </r>
  <r>
    <x v="0"/>
    <s v="八代郡氷川町"/>
    <x v="38"/>
    <x v="14"/>
    <n v="23"/>
    <n v="8.01"/>
    <n v="13"/>
    <n v="7.26"/>
    <n v="9"/>
    <n v="8.74"/>
    <x v="9"/>
  </r>
  <r>
    <x v="0"/>
    <s v="葦北郡芦北町"/>
    <x v="39"/>
    <x v="0"/>
    <n v="0"/>
    <n v="0"/>
    <n v="0"/>
    <n v="0"/>
    <n v="0"/>
    <n v="0"/>
    <x v="0"/>
  </r>
  <r>
    <x v="0"/>
    <s v="葦北郡芦北町"/>
    <x v="39"/>
    <x v="1"/>
    <n v="51"/>
    <n v="15.69"/>
    <n v="20"/>
    <n v="11.43"/>
    <n v="31"/>
    <n v="21.53"/>
    <x v="0"/>
  </r>
  <r>
    <x v="0"/>
    <s v="葦北郡芦北町"/>
    <x v="39"/>
    <x v="2"/>
    <n v="26"/>
    <n v="8"/>
    <n v="9"/>
    <n v="5.14"/>
    <n v="16"/>
    <n v="11.11"/>
    <x v="9"/>
  </r>
  <r>
    <x v="0"/>
    <s v="葦北郡芦北町"/>
    <x v="39"/>
    <x v="3"/>
    <n v="0"/>
    <n v="0"/>
    <n v="0"/>
    <n v="0"/>
    <n v="0"/>
    <n v="0"/>
    <x v="0"/>
  </r>
  <r>
    <x v="0"/>
    <s v="葦北郡芦北町"/>
    <x v="39"/>
    <x v="4"/>
    <n v="5"/>
    <n v="1.54"/>
    <n v="1"/>
    <n v="0.56999999999999995"/>
    <n v="4"/>
    <n v="2.78"/>
    <x v="0"/>
  </r>
  <r>
    <x v="0"/>
    <s v="葦北郡芦北町"/>
    <x v="39"/>
    <x v="5"/>
    <n v="1"/>
    <n v="0.31"/>
    <n v="0"/>
    <n v="0"/>
    <n v="1"/>
    <n v="0.69"/>
    <x v="0"/>
  </r>
  <r>
    <x v="0"/>
    <s v="葦北郡芦北町"/>
    <x v="39"/>
    <x v="6"/>
    <n v="95"/>
    <n v="29.23"/>
    <n v="52"/>
    <n v="29.71"/>
    <n v="43"/>
    <n v="29.86"/>
    <x v="0"/>
  </r>
  <r>
    <x v="0"/>
    <s v="葦北郡芦北町"/>
    <x v="39"/>
    <x v="7"/>
    <n v="2"/>
    <n v="0.62"/>
    <n v="0"/>
    <n v="0"/>
    <n v="2"/>
    <n v="1.39"/>
    <x v="0"/>
  </r>
  <r>
    <x v="0"/>
    <s v="葦北郡芦北町"/>
    <x v="39"/>
    <x v="8"/>
    <n v="9"/>
    <n v="2.77"/>
    <n v="3"/>
    <n v="1.71"/>
    <n v="6"/>
    <n v="4.17"/>
    <x v="0"/>
  </r>
  <r>
    <x v="0"/>
    <s v="葦北郡芦北町"/>
    <x v="39"/>
    <x v="9"/>
    <n v="4"/>
    <n v="1.23"/>
    <n v="4"/>
    <n v="2.29"/>
    <n v="0"/>
    <n v="0"/>
    <x v="0"/>
  </r>
  <r>
    <x v="0"/>
    <s v="葦北郡芦北町"/>
    <x v="39"/>
    <x v="10"/>
    <n v="29"/>
    <n v="8.92"/>
    <n v="23"/>
    <n v="13.14"/>
    <n v="6"/>
    <n v="4.17"/>
    <x v="0"/>
  </r>
  <r>
    <x v="0"/>
    <s v="葦北郡芦北町"/>
    <x v="39"/>
    <x v="11"/>
    <n v="57"/>
    <n v="17.54"/>
    <n v="46"/>
    <n v="26.29"/>
    <n v="8"/>
    <n v="5.56"/>
    <x v="0"/>
  </r>
  <r>
    <x v="0"/>
    <s v="葦北郡芦北町"/>
    <x v="39"/>
    <x v="12"/>
    <n v="6"/>
    <n v="1.85"/>
    <n v="3"/>
    <n v="1.71"/>
    <n v="1"/>
    <n v="0.69"/>
    <x v="9"/>
  </r>
  <r>
    <x v="0"/>
    <s v="葦北郡芦北町"/>
    <x v="39"/>
    <x v="13"/>
    <n v="23"/>
    <n v="7.08"/>
    <n v="9"/>
    <n v="5.14"/>
    <n v="14"/>
    <n v="9.7200000000000006"/>
    <x v="0"/>
  </r>
  <r>
    <x v="0"/>
    <s v="葦北郡芦北町"/>
    <x v="39"/>
    <x v="14"/>
    <n v="17"/>
    <n v="5.23"/>
    <n v="5"/>
    <n v="2.86"/>
    <n v="12"/>
    <n v="8.33"/>
    <x v="0"/>
  </r>
  <r>
    <x v="0"/>
    <s v="葦北郡津奈木町"/>
    <x v="40"/>
    <x v="0"/>
    <n v="0"/>
    <n v="0"/>
    <n v="0"/>
    <n v="0"/>
    <n v="0"/>
    <n v="0"/>
    <x v="0"/>
  </r>
  <r>
    <x v="0"/>
    <s v="葦北郡津奈木町"/>
    <x v="40"/>
    <x v="1"/>
    <n v="12"/>
    <n v="15.38"/>
    <n v="5"/>
    <n v="12.2"/>
    <n v="7"/>
    <n v="21.21"/>
    <x v="0"/>
  </r>
  <r>
    <x v="0"/>
    <s v="葦北郡津奈木町"/>
    <x v="40"/>
    <x v="2"/>
    <n v="13"/>
    <n v="16.670000000000002"/>
    <n v="5"/>
    <n v="12.2"/>
    <n v="8"/>
    <n v="24.24"/>
    <x v="0"/>
  </r>
  <r>
    <x v="0"/>
    <s v="葦北郡津奈木町"/>
    <x v="40"/>
    <x v="3"/>
    <n v="1"/>
    <n v="1.28"/>
    <n v="0"/>
    <n v="0"/>
    <n v="0"/>
    <n v="0"/>
    <x v="0"/>
  </r>
  <r>
    <x v="0"/>
    <s v="葦北郡津奈木町"/>
    <x v="40"/>
    <x v="4"/>
    <n v="1"/>
    <n v="1.28"/>
    <n v="0"/>
    <n v="0"/>
    <n v="1"/>
    <n v="3.03"/>
    <x v="0"/>
  </r>
  <r>
    <x v="0"/>
    <s v="葦北郡津奈木町"/>
    <x v="40"/>
    <x v="5"/>
    <n v="1"/>
    <n v="1.28"/>
    <n v="0"/>
    <n v="0"/>
    <n v="1"/>
    <n v="3.03"/>
    <x v="0"/>
  </r>
  <r>
    <x v="0"/>
    <s v="葦北郡津奈木町"/>
    <x v="40"/>
    <x v="6"/>
    <n v="17"/>
    <n v="21.79"/>
    <n v="7"/>
    <n v="17.07"/>
    <n v="10"/>
    <n v="30.3"/>
    <x v="0"/>
  </r>
  <r>
    <x v="0"/>
    <s v="葦北郡津奈木町"/>
    <x v="40"/>
    <x v="7"/>
    <n v="2"/>
    <n v="2.56"/>
    <n v="0"/>
    <n v="0"/>
    <n v="2"/>
    <n v="6.06"/>
    <x v="0"/>
  </r>
  <r>
    <x v="0"/>
    <s v="葦北郡津奈木町"/>
    <x v="40"/>
    <x v="8"/>
    <n v="2"/>
    <n v="2.56"/>
    <n v="1"/>
    <n v="2.44"/>
    <n v="1"/>
    <n v="3.03"/>
    <x v="0"/>
  </r>
  <r>
    <x v="0"/>
    <s v="葦北郡津奈木町"/>
    <x v="40"/>
    <x v="9"/>
    <n v="1"/>
    <n v="1.28"/>
    <n v="0"/>
    <n v="0"/>
    <n v="1"/>
    <n v="3.03"/>
    <x v="0"/>
  </r>
  <r>
    <x v="0"/>
    <s v="葦北郡津奈木町"/>
    <x v="40"/>
    <x v="10"/>
    <n v="4"/>
    <n v="5.13"/>
    <n v="4"/>
    <n v="9.76"/>
    <n v="0"/>
    <n v="0"/>
    <x v="0"/>
  </r>
  <r>
    <x v="0"/>
    <s v="葦北郡津奈木町"/>
    <x v="40"/>
    <x v="11"/>
    <n v="12"/>
    <n v="15.38"/>
    <n v="12"/>
    <n v="29.27"/>
    <n v="0"/>
    <n v="0"/>
    <x v="0"/>
  </r>
  <r>
    <x v="0"/>
    <s v="葦北郡津奈木町"/>
    <x v="40"/>
    <x v="12"/>
    <n v="2"/>
    <n v="2.56"/>
    <n v="0"/>
    <n v="0"/>
    <n v="1"/>
    <n v="3.03"/>
    <x v="0"/>
  </r>
  <r>
    <x v="0"/>
    <s v="葦北郡津奈木町"/>
    <x v="40"/>
    <x v="13"/>
    <n v="4"/>
    <n v="5.13"/>
    <n v="4"/>
    <n v="9.76"/>
    <n v="0"/>
    <n v="0"/>
    <x v="0"/>
  </r>
  <r>
    <x v="0"/>
    <s v="葦北郡津奈木町"/>
    <x v="40"/>
    <x v="14"/>
    <n v="6"/>
    <n v="7.69"/>
    <n v="3"/>
    <n v="7.32"/>
    <n v="1"/>
    <n v="3.03"/>
    <x v="0"/>
  </r>
  <r>
    <x v="0"/>
    <s v="球磨郡錦町"/>
    <x v="41"/>
    <x v="0"/>
    <n v="0"/>
    <n v="0"/>
    <n v="0"/>
    <n v="0"/>
    <n v="0"/>
    <n v="0"/>
    <x v="0"/>
  </r>
  <r>
    <x v="0"/>
    <s v="球磨郡錦町"/>
    <x v="41"/>
    <x v="1"/>
    <n v="27"/>
    <n v="11.84"/>
    <n v="10"/>
    <n v="8.1300000000000008"/>
    <n v="17"/>
    <n v="16.670000000000002"/>
    <x v="0"/>
  </r>
  <r>
    <x v="0"/>
    <s v="球磨郡錦町"/>
    <x v="41"/>
    <x v="2"/>
    <n v="19"/>
    <n v="8.33"/>
    <n v="13"/>
    <n v="10.57"/>
    <n v="6"/>
    <n v="5.88"/>
    <x v="0"/>
  </r>
  <r>
    <x v="0"/>
    <s v="球磨郡錦町"/>
    <x v="41"/>
    <x v="3"/>
    <n v="3"/>
    <n v="1.32"/>
    <n v="0"/>
    <n v="0"/>
    <n v="3"/>
    <n v="2.94"/>
    <x v="0"/>
  </r>
  <r>
    <x v="0"/>
    <s v="球磨郡錦町"/>
    <x v="41"/>
    <x v="4"/>
    <n v="1"/>
    <n v="0.44"/>
    <n v="0"/>
    <n v="0"/>
    <n v="1"/>
    <n v="0.98"/>
    <x v="0"/>
  </r>
  <r>
    <x v="0"/>
    <s v="球磨郡錦町"/>
    <x v="41"/>
    <x v="5"/>
    <n v="1"/>
    <n v="0.44"/>
    <n v="0"/>
    <n v="0"/>
    <n v="1"/>
    <n v="0.98"/>
    <x v="0"/>
  </r>
  <r>
    <x v="0"/>
    <s v="球磨郡錦町"/>
    <x v="41"/>
    <x v="6"/>
    <n v="74"/>
    <n v="32.46"/>
    <n v="32"/>
    <n v="26.02"/>
    <n v="42"/>
    <n v="41.18"/>
    <x v="0"/>
  </r>
  <r>
    <x v="0"/>
    <s v="球磨郡錦町"/>
    <x v="41"/>
    <x v="7"/>
    <n v="2"/>
    <n v="0.88"/>
    <n v="1"/>
    <n v="0.81"/>
    <n v="1"/>
    <n v="0.98"/>
    <x v="0"/>
  </r>
  <r>
    <x v="0"/>
    <s v="球磨郡錦町"/>
    <x v="41"/>
    <x v="8"/>
    <n v="5"/>
    <n v="2.19"/>
    <n v="1"/>
    <n v="0.81"/>
    <n v="4"/>
    <n v="3.92"/>
    <x v="0"/>
  </r>
  <r>
    <x v="0"/>
    <s v="球磨郡錦町"/>
    <x v="41"/>
    <x v="9"/>
    <n v="10"/>
    <n v="4.3899999999999997"/>
    <n v="6"/>
    <n v="4.88"/>
    <n v="4"/>
    <n v="3.92"/>
    <x v="0"/>
  </r>
  <r>
    <x v="0"/>
    <s v="球磨郡錦町"/>
    <x v="41"/>
    <x v="10"/>
    <n v="23"/>
    <n v="10.09"/>
    <n v="18"/>
    <n v="14.63"/>
    <n v="4"/>
    <n v="3.92"/>
    <x v="0"/>
  </r>
  <r>
    <x v="0"/>
    <s v="球磨郡錦町"/>
    <x v="41"/>
    <x v="11"/>
    <n v="34"/>
    <n v="14.91"/>
    <n v="22"/>
    <n v="17.89"/>
    <n v="12"/>
    <n v="11.76"/>
    <x v="0"/>
  </r>
  <r>
    <x v="0"/>
    <s v="球磨郡錦町"/>
    <x v="41"/>
    <x v="12"/>
    <n v="4"/>
    <n v="1.75"/>
    <n v="3"/>
    <n v="2.44"/>
    <n v="0"/>
    <n v="0"/>
    <x v="0"/>
  </r>
  <r>
    <x v="0"/>
    <s v="球磨郡錦町"/>
    <x v="41"/>
    <x v="13"/>
    <n v="14"/>
    <n v="6.14"/>
    <n v="9"/>
    <n v="7.32"/>
    <n v="5"/>
    <n v="4.9000000000000004"/>
    <x v="0"/>
  </r>
  <r>
    <x v="0"/>
    <s v="球磨郡錦町"/>
    <x v="41"/>
    <x v="14"/>
    <n v="11"/>
    <n v="4.82"/>
    <n v="8"/>
    <n v="6.5"/>
    <n v="2"/>
    <n v="1.96"/>
    <x v="0"/>
  </r>
  <r>
    <x v="0"/>
    <s v="球磨郡多良木町"/>
    <x v="42"/>
    <x v="0"/>
    <n v="0"/>
    <n v="0"/>
    <n v="0"/>
    <n v="0"/>
    <n v="0"/>
    <n v="0"/>
    <x v="0"/>
  </r>
  <r>
    <x v="0"/>
    <s v="球磨郡多良木町"/>
    <x v="42"/>
    <x v="1"/>
    <n v="29"/>
    <n v="11.15"/>
    <n v="16"/>
    <n v="9.0399999999999991"/>
    <n v="13"/>
    <n v="16.670000000000002"/>
    <x v="0"/>
  </r>
  <r>
    <x v="0"/>
    <s v="球磨郡多良木町"/>
    <x v="42"/>
    <x v="2"/>
    <n v="27"/>
    <n v="10.38"/>
    <n v="14"/>
    <n v="7.91"/>
    <n v="13"/>
    <n v="16.670000000000002"/>
    <x v="0"/>
  </r>
  <r>
    <x v="0"/>
    <s v="球磨郡多良木町"/>
    <x v="42"/>
    <x v="3"/>
    <n v="0"/>
    <n v="0"/>
    <n v="0"/>
    <n v="0"/>
    <n v="0"/>
    <n v="0"/>
    <x v="0"/>
  </r>
  <r>
    <x v="0"/>
    <s v="球磨郡多良木町"/>
    <x v="42"/>
    <x v="4"/>
    <n v="1"/>
    <n v="0.38"/>
    <n v="0"/>
    <n v="0"/>
    <n v="1"/>
    <n v="1.28"/>
    <x v="0"/>
  </r>
  <r>
    <x v="0"/>
    <s v="球磨郡多良木町"/>
    <x v="42"/>
    <x v="5"/>
    <n v="0"/>
    <n v="0"/>
    <n v="0"/>
    <n v="0"/>
    <n v="0"/>
    <n v="0"/>
    <x v="0"/>
  </r>
  <r>
    <x v="0"/>
    <s v="球磨郡多良木町"/>
    <x v="42"/>
    <x v="6"/>
    <n v="62"/>
    <n v="23.85"/>
    <n v="34"/>
    <n v="19.21"/>
    <n v="28"/>
    <n v="35.9"/>
    <x v="0"/>
  </r>
  <r>
    <x v="0"/>
    <s v="球磨郡多良木町"/>
    <x v="42"/>
    <x v="7"/>
    <n v="1"/>
    <n v="0.38"/>
    <n v="0"/>
    <n v="0"/>
    <n v="1"/>
    <n v="1.28"/>
    <x v="0"/>
  </r>
  <r>
    <x v="0"/>
    <s v="球磨郡多良木町"/>
    <x v="42"/>
    <x v="8"/>
    <n v="8"/>
    <n v="3.08"/>
    <n v="2"/>
    <n v="1.1299999999999999"/>
    <n v="6"/>
    <n v="7.69"/>
    <x v="0"/>
  </r>
  <r>
    <x v="0"/>
    <s v="球磨郡多良木町"/>
    <x v="42"/>
    <x v="9"/>
    <n v="16"/>
    <n v="6.15"/>
    <n v="13"/>
    <n v="7.34"/>
    <n v="3"/>
    <n v="3.85"/>
    <x v="0"/>
  </r>
  <r>
    <x v="0"/>
    <s v="球磨郡多良木町"/>
    <x v="42"/>
    <x v="10"/>
    <n v="40"/>
    <n v="15.38"/>
    <n v="38"/>
    <n v="21.47"/>
    <n v="1"/>
    <n v="1.28"/>
    <x v="0"/>
  </r>
  <r>
    <x v="0"/>
    <s v="球磨郡多良木町"/>
    <x v="42"/>
    <x v="11"/>
    <n v="53"/>
    <n v="20.38"/>
    <n v="47"/>
    <n v="26.55"/>
    <n v="5"/>
    <n v="6.41"/>
    <x v="0"/>
  </r>
  <r>
    <x v="0"/>
    <s v="球磨郡多良木町"/>
    <x v="42"/>
    <x v="12"/>
    <n v="8"/>
    <n v="3.08"/>
    <n v="4"/>
    <n v="2.2599999999999998"/>
    <n v="2"/>
    <n v="2.56"/>
    <x v="9"/>
  </r>
  <r>
    <x v="0"/>
    <s v="球磨郡多良木町"/>
    <x v="42"/>
    <x v="13"/>
    <n v="6"/>
    <n v="2.31"/>
    <n v="3"/>
    <n v="1.69"/>
    <n v="3"/>
    <n v="3.85"/>
    <x v="0"/>
  </r>
  <r>
    <x v="0"/>
    <s v="球磨郡多良木町"/>
    <x v="42"/>
    <x v="14"/>
    <n v="9"/>
    <n v="3.46"/>
    <n v="6"/>
    <n v="3.39"/>
    <n v="2"/>
    <n v="2.56"/>
    <x v="9"/>
  </r>
  <r>
    <x v="0"/>
    <s v="球磨郡湯前町"/>
    <x v="43"/>
    <x v="0"/>
    <n v="0"/>
    <n v="0"/>
    <n v="0"/>
    <n v="0"/>
    <n v="0"/>
    <n v="0"/>
    <x v="0"/>
  </r>
  <r>
    <x v="0"/>
    <s v="球磨郡湯前町"/>
    <x v="43"/>
    <x v="1"/>
    <n v="17"/>
    <n v="14.78"/>
    <n v="8"/>
    <n v="10.81"/>
    <n v="9"/>
    <n v="23.68"/>
    <x v="0"/>
  </r>
  <r>
    <x v="0"/>
    <s v="球磨郡湯前町"/>
    <x v="43"/>
    <x v="2"/>
    <n v="12"/>
    <n v="10.43"/>
    <n v="3"/>
    <n v="4.05"/>
    <n v="9"/>
    <n v="23.68"/>
    <x v="0"/>
  </r>
  <r>
    <x v="0"/>
    <s v="球磨郡湯前町"/>
    <x v="43"/>
    <x v="3"/>
    <n v="2"/>
    <n v="1.74"/>
    <n v="0"/>
    <n v="0"/>
    <n v="0"/>
    <n v="0"/>
    <x v="0"/>
  </r>
  <r>
    <x v="0"/>
    <s v="球磨郡湯前町"/>
    <x v="43"/>
    <x v="4"/>
    <n v="1"/>
    <n v="0.87"/>
    <n v="0"/>
    <n v="0"/>
    <n v="1"/>
    <n v="2.63"/>
    <x v="0"/>
  </r>
  <r>
    <x v="0"/>
    <s v="球磨郡湯前町"/>
    <x v="43"/>
    <x v="5"/>
    <n v="1"/>
    <n v="0.87"/>
    <n v="0"/>
    <n v="0"/>
    <n v="1"/>
    <n v="2.63"/>
    <x v="0"/>
  </r>
  <r>
    <x v="0"/>
    <s v="球磨郡湯前町"/>
    <x v="43"/>
    <x v="6"/>
    <n v="35"/>
    <n v="30.43"/>
    <n v="28"/>
    <n v="37.840000000000003"/>
    <n v="7"/>
    <n v="18.420000000000002"/>
    <x v="0"/>
  </r>
  <r>
    <x v="0"/>
    <s v="球磨郡湯前町"/>
    <x v="43"/>
    <x v="7"/>
    <n v="0"/>
    <n v="0"/>
    <n v="0"/>
    <n v="0"/>
    <n v="0"/>
    <n v="0"/>
    <x v="0"/>
  </r>
  <r>
    <x v="0"/>
    <s v="球磨郡湯前町"/>
    <x v="43"/>
    <x v="8"/>
    <n v="0"/>
    <n v="0"/>
    <n v="0"/>
    <n v="0"/>
    <n v="0"/>
    <n v="0"/>
    <x v="0"/>
  </r>
  <r>
    <x v="0"/>
    <s v="球磨郡湯前町"/>
    <x v="43"/>
    <x v="9"/>
    <n v="2"/>
    <n v="1.74"/>
    <n v="2"/>
    <n v="2.7"/>
    <n v="0"/>
    <n v="0"/>
    <x v="0"/>
  </r>
  <r>
    <x v="0"/>
    <s v="球磨郡湯前町"/>
    <x v="43"/>
    <x v="10"/>
    <n v="8"/>
    <n v="6.96"/>
    <n v="7"/>
    <n v="9.4600000000000009"/>
    <n v="1"/>
    <n v="2.63"/>
    <x v="0"/>
  </r>
  <r>
    <x v="0"/>
    <s v="球磨郡湯前町"/>
    <x v="43"/>
    <x v="11"/>
    <n v="22"/>
    <n v="19.13"/>
    <n v="17"/>
    <n v="22.97"/>
    <n v="4"/>
    <n v="10.53"/>
    <x v="0"/>
  </r>
  <r>
    <x v="0"/>
    <s v="球磨郡湯前町"/>
    <x v="43"/>
    <x v="12"/>
    <n v="6"/>
    <n v="5.22"/>
    <n v="6"/>
    <n v="8.11"/>
    <n v="0"/>
    <n v="0"/>
    <x v="0"/>
  </r>
  <r>
    <x v="0"/>
    <s v="球磨郡湯前町"/>
    <x v="43"/>
    <x v="13"/>
    <n v="2"/>
    <n v="1.74"/>
    <n v="1"/>
    <n v="1.35"/>
    <n v="1"/>
    <n v="2.63"/>
    <x v="0"/>
  </r>
  <r>
    <x v="0"/>
    <s v="球磨郡湯前町"/>
    <x v="43"/>
    <x v="14"/>
    <n v="7"/>
    <n v="6.09"/>
    <n v="2"/>
    <n v="2.7"/>
    <n v="5"/>
    <n v="13.16"/>
    <x v="0"/>
  </r>
  <r>
    <x v="0"/>
    <s v="球磨郡水上村"/>
    <x v="44"/>
    <x v="0"/>
    <n v="0"/>
    <n v="0"/>
    <n v="0"/>
    <n v="0"/>
    <n v="0"/>
    <n v="0"/>
    <x v="0"/>
  </r>
  <r>
    <x v="0"/>
    <s v="球磨郡水上村"/>
    <x v="44"/>
    <x v="1"/>
    <n v="6"/>
    <n v="9.68"/>
    <n v="4"/>
    <n v="8.51"/>
    <n v="2"/>
    <n v="15.38"/>
    <x v="0"/>
  </r>
  <r>
    <x v="0"/>
    <s v="球磨郡水上村"/>
    <x v="44"/>
    <x v="2"/>
    <n v="6"/>
    <n v="9.68"/>
    <n v="3"/>
    <n v="6.38"/>
    <n v="3"/>
    <n v="23.08"/>
    <x v="0"/>
  </r>
  <r>
    <x v="0"/>
    <s v="球磨郡水上村"/>
    <x v="44"/>
    <x v="3"/>
    <n v="1"/>
    <n v="1.61"/>
    <n v="0"/>
    <n v="0"/>
    <n v="0"/>
    <n v="0"/>
    <x v="0"/>
  </r>
  <r>
    <x v="0"/>
    <s v="球磨郡水上村"/>
    <x v="44"/>
    <x v="4"/>
    <n v="1"/>
    <n v="1.61"/>
    <n v="1"/>
    <n v="2.13"/>
    <n v="0"/>
    <n v="0"/>
    <x v="0"/>
  </r>
  <r>
    <x v="0"/>
    <s v="球磨郡水上村"/>
    <x v="44"/>
    <x v="5"/>
    <n v="0"/>
    <n v="0"/>
    <n v="0"/>
    <n v="0"/>
    <n v="0"/>
    <n v="0"/>
    <x v="0"/>
  </r>
  <r>
    <x v="0"/>
    <s v="球磨郡水上村"/>
    <x v="44"/>
    <x v="6"/>
    <n v="15"/>
    <n v="24.19"/>
    <n v="12"/>
    <n v="25.53"/>
    <n v="3"/>
    <n v="23.08"/>
    <x v="0"/>
  </r>
  <r>
    <x v="0"/>
    <s v="球磨郡水上村"/>
    <x v="44"/>
    <x v="7"/>
    <n v="0"/>
    <n v="0"/>
    <n v="0"/>
    <n v="0"/>
    <n v="0"/>
    <n v="0"/>
    <x v="0"/>
  </r>
  <r>
    <x v="0"/>
    <s v="球磨郡水上村"/>
    <x v="44"/>
    <x v="8"/>
    <n v="1"/>
    <n v="1.61"/>
    <n v="0"/>
    <n v="0"/>
    <n v="1"/>
    <n v="7.69"/>
    <x v="0"/>
  </r>
  <r>
    <x v="0"/>
    <s v="球磨郡水上村"/>
    <x v="44"/>
    <x v="9"/>
    <n v="1"/>
    <n v="1.61"/>
    <n v="0"/>
    <n v="0"/>
    <n v="1"/>
    <n v="7.69"/>
    <x v="0"/>
  </r>
  <r>
    <x v="0"/>
    <s v="球磨郡水上村"/>
    <x v="44"/>
    <x v="10"/>
    <n v="16"/>
    <n v="25.81"/>
    <n v="15"/>
    <n v="31.91"/>
    <n v="1"/>
    <n v="7.69"/>
    <x v="0"/>
  </r>
  <r>
    <x v="0"/>
    <s v="球磨郡水上村"/>
    <x v="44"/>
    <x v="11"/>
    <n v="9"/>
    <n v="14.52"/>
    <n v="7"/>
    <n v="14.89"/>
    <n v="1"/>
    <n v="7.69"/>
    <x v="0"/>
  </r>
  <r>
    <x v="0"/>
    <s v="球磨郡水上村"/>
    <x v="44"/>
    <x v="12"/>
    <n v="2"/>
    <n v="3.23"/>
    <n v="2"/>
    <n v="4.26"/>
    <n v="0"/>
    <n v="0"/>
    <x v="0"/>
  </r>
  <r>
    <x v="0"/>
    <s v="球磨郡水上村"/>
    <x v="44"/>
    <x v="13"/>
    <n v="3"/>
    <n v="4.84"/>
    <n v="3"/>
    <n v="6.38"/>
    <n v="0"/>
    <n v="0"/>
    <x v="0"/>
  </r>
  <r>
    <x v="0"/>
    <s v="球磨郡水上村"/>
    <x v="44"/>
    <x v="14"/>
    <n v="1"/>
    <n v="1.61"/>
    <n v="0"/>
    <n v="0"/>
    <n v="1"/>
    <n v="7.69"/>
    <x v="0"/>
  </r>
  <r>
    <x v="0"/>
    <s v="球磨郡相良村"/>
    <x v="45"/>
    <x v="0"/>
    <n v="0"/>
    <n v="0"/>
    <n v="0"/>
    <n v="0"/>
    <n v="0"/>
    <n v="0"/>
    <x v="0"/>
  </r>
  <r>
    <x v="0"/>
    <s v="球磨郡相良村"/>
    <x v="45"/>
    <x v="1"/>
    <n v="22"/>
    <n v="20.75"/>
    <n v="17"/>
    <n v="24.29"/>
    <n v="5"/>
    <n v="15.15"/>
    <x v="0"/>
  </r>
  <r>
    <x v="0"/>
    <s v="球磨郡相良村"/>
    <x v="45"/>
    <x v="2"/>
    <n v="21"/>
    <n v="19.809999999999999"/>
    <n v="5"/>
    <n v="7.14"/>
    <n v="16"/>
    <n v="48.48"/>
    <x v="0"/>
  </r>
  <r>
    <x v="0"/>
    <s v="球磨郡相良村"/>
    <x v="45"/>
    <x v="3"/>
    <n v="1"/>
    <n v="0.94"/>
    <n v="0"/>
    <n v="0"/>
    <n v="0"/>
    <n v="0"/>
    <x v="0"/>
  </r>
  <r>
    <x v="0"/>
    <s v="球磨郡相良村"/>
    <x v="45"/>
    <x v="4"/>
    <n v="0"/>
    <n v="0"/>
    <n v="0"/>
    <n v="0"/>
    <n v="0"/>
    <n v="0"/>
    <x v="0"/>
  </r>
  <r>
    <x v="0"/>
    <s v="球磨郡相良村"/>
    <x v="45"/>
    <x v="5"/>
    <n v="0"/>
    <n v="0"/>
    <n v="0"/>
    <n v="0"/>
    <n v="0"/>
    <n v="0"/>
    <x v="0"/>
  </r>
  <r>
    <x v="0"/>
    <s v="球磨郡相良村"/>
    <x v="45"/>
    <x v="6"/>
    <n v="28"/>
    <n v="26.42"/>
    <n v="20"/>
    <n v="28.57"/>
    <n v="8"/>
    <n v="24.24"/>
    <x v="0"/>
  </r>
  <r>
    <x v="0"/>
    <s v="球磨郡相良村"/>
    <x v="45"/>
    <x v="7"/>
    <n v="0"/>
    <n v="0"/>
    <n v="0"/>
    <n v="0"/>
    <n v="0"/>
    <n v="0"/>
    <x v="0"/>
  </r>
  <r>
    <x v="0"/>
    <s v="球磨郡相良村"/>
    <x v="45"/>
    <x v="8"/>
    <n v="4"/>
    <n v="3.77"/>
    <n v="2"/>
    <n v="2.86"/>
    <n v="2"/>
    <n v="6.06"/>
    <x v="0"/>
  </r>
  <r>
    <x v="0"/>
    <s v="球磨郡相良村"/>
    <x v="45"/>
    <x v="9"/>
    <n v="3"/>
    <n v="2.83"/>
    <n v="2"/>
    <n v="2.86"/>
    <n v="0"/>
    <n v="0"/>
    <x v="9"/>
  </r>
  <r>
    <x v="0"/>
    <s v="球磨郡相良村"/>
    <x v="45"/>
    <x v="10"/>
    <n v="5"/>
    <n v="4.72"/>
    <n v="5"/>
    <n v="7.14"/>
    <n v="0"/>
    <n v="0"/>
    <x v="0"/>
  </r>
  <r>
    <x v="0"/>
    <s v="球磨郡相良村"/>
    <x v="45"/>
    <x v="11"/>
    <n v="11"/>
    <n v="10.38"/>
    <n v="11"/>
    <n v="15.71"/>
    <n v="0"/>
    <n v="0"/>
    <x v="0"/>
  </r>
  <r>
    <x v="0"/>
    <s v="球磨郡相良村"/>
    <x v="45"/>
    <x v="12"/>
    <n v="4"/>
    <n v="3.77"/>
    <n v="4"/>
    <n v="5.71"/>
    <n v="0"/>
    <n v="0"/>
    <x v="0"/>
  </r>
  <r>
    <x v="0"/>
    <s v="球磨郡相良村"/>
    <x v="45"/>
    <x v="13"/>
    <n v="3"/>
    <n v="2.83"/>
    <n v="2"/>
    <n v="2.86"/>
    <n v="0"/>
    <n v="0"/>
    <x v="9"/>
  </r>
  <r>
    <x v="0"/>
    <s v="球磨郡相良村"/>
    <x v="45"/>
    <x v="14"/>
    <n v="4"/>
    <n v="3.77"/>
    <n v="2"/>
    <n v="2.86"/>
    <n v="2"/>
    <n v="6.06"/>
    <x v="0"/>
  </r>
  <r>
    <x v="0"/>
    <s v="球磨郡五木村"/>
    <x v="46"/>
    <x v="0"/>
    <n v="0"/>
    <n v="0"/>
    <n v="0"/>
    <n v="0"/>
    <n v="0"/>
    <n v="0"/>
    <x v="0"/>
  </r>
  <r>
    <x v="0"/>
    <s v="球磨郡五木村"/>
    <x v="46"/>
    <x v="1"/>
    <n v="5"/>
    <n v="16.13"/>
    <n v="4"/>
    <n v="21.05"/>
    <n v="1"/>
    <n v="11.11"/>
    <x v="0"/>
  </r>
  <r>
    <x v="0"/>
    <s v="球磨郡五木村"/>
    <x v="46"/>
    <x v="2"/>
    <n v="2"/>
    <n v="6.45"/>
    <n v="2"/>
    <n v="10.53"/>
    <n v="0"/>
    <n v="0"/>
    <x v="0"/>
  </r>
  <r>
    <x v="0"/>
    <s v="球磨郡五木村"/>
    <x v="46"/>
    <x v="3"/>
    <n v="0"/>
    <n v="0"/>
    <n v="0"/>
    <n v="0"/>
    <n v="0"/>
    <n v="0"/>
    <x v="0"/>
  </r>
  <r>
    <x v="0"/>
    <s v="球磨郡五木村"/>
    <x v="46"/>
    <x v="4"/>
    <n v="0"/>
    <n v="0"/>
    <n v="0"/>
    <n v="0"/>
    <n v="0"/>
    <n v="0"/>
    <x v="0"/>
  </r>
  <r>
    <x v="0"/>
    <s v="球磨郡五木村"/>
    <x v="46"/>
    <x v="5"/>
    <n v="0"/>
    <n v="0"/>
    <n v="0"/>
    <n v="0"/>
    <n v="0"/>
    <n v="0"/>
    <x v="0"/>
  </r>
  <r>
    <x v="0"/>
    <s v="球磨郡五木村"/>
    <x v="46"/>
    <x v="6"/>
    <n v="8"/>
    <n v="25.81"/>
    <n v="5"/>
    <n v="26.32"/>
    <n v="3"/>
    <n v="33.33"/>
    <x v="0"/>
  </r>
  <r>
    <x v="0"/>
    <s v="球磨郡五木村"/>
    <x v="46"/>
    <x v="7"/>
    <n v="0"/>
    <n v="0"/>
    <n v="0"/>
    <n v="0"/>
    <n v="0"/>
    <n v="0"/>
    <x v="0"/>
  </r>
  <r>
    <x v="0"/>
    <s v="球磨郡五木村"/>
    <x v="46"/>
    <x v="8"/>
    <n v="2"/>
    <n v="6.45"/>
    <n v="0"/>
    <n v="0"/>
    <n v="2"/>
    <n v="22.22"/>
    <x v="0"/>
  </r>
  <r>
    <x v="0"/>
    <s v="球磨郡五木村"/>
    <x v="46"/>
    <x v="9"/>
    <n v="4"/>
    <n v="12.9"/>
    <n v="0"/>
    <n v="0"/>
    <n v="2"/>
    <n v="22.22"/>
    <x v="0"/>
  </r>
  <r>
    <x v="0"/>
    <s v="球磨郡五木村"/>
    <x v="46"/>
    <x v="10"/>
    <n v="6"/>
    <n v="19.350000000000001"/>
    <n v="5"/>
    <n v="26.32"/>
    <n v="1"/>
    <n v="11.11"/>
    <x v="0"/>
  </r>
  <r>
    <x v="0"/>
    <s v="球磨郡五木村"/>
    <x v="46"/>
    <x v="11"/>
    <n v="3"/>
    <n v="9.68"/>
    <n v="3"/>
    <n v="15.79"/>
    <n v="0"/>
    <n v="0"/>
    <x v="0"/>
  </r>
  <r>
    <x v="0"/>
    <s v="球磨郡五木村"/>
    <x v="46"/>
    <x v="12"/>
    <n v="0"/>
    <n v="0"/>
    <n v="0"/>
    <n v="0"/>
    <n v="0"/>
    <n v="0"/>
    <x v="0"/>
  </r>
  <r>
    <x v="0"/>
    <s v="球磨郡五木村"/>
    <x v="46"/>
    <x v="13"/>
    <n v="0"/>
    <n v="0"/>
    <n v="0"/>
    <n v="0"/>
    <n v="0"/>
    <n v="0"/>
    <x v="0"/>
  </r>
  <r>
    <x v="0"/>
    <s v="球磨郡五木村"/>
    <x v="46"/>
    <x v="14"/>
    <n v="1"/>
    <n v="3.23"/>
    <n v="0"/>
    <n v="0"/>
    <n v="0"/>
    <n v="0"/>
    <x v="9"/>
  </r>
  <r>
    <x v="0"/>
    <s v="球磨郡山江村"/>
    <x v="47"/>
    <x v="0"/>
    <n v="0"/>
    <n v="0"/>
    <n v="0"/>
    <n v="0"/>
    <n v="0"/>
    <n v="0"/>
    <x v="0"/>
  </r>
  <r>
    <x v="0"/>
    <s v="球磨郡山江村"/>
    <x v="47"/>
    <x v="1"/>
    <n v="16"/>
    <n v="32"/>
    <n v="12"/>
    <n v="32.43"/>
    <n v="4"/>
    <n v="36.36"/>
    <x v="0"/>
  </r>
  <r>
    <x v="0"/>
    <s v="球磨郡山江村"/>
    <x v="47"/>
    <x v="2"/>
    <n v="5"/>
    <n v="10"/>
    <n v="4"/>
    <n v="10.81"/>
    <n v="1"/>
    <n v="9.09"/>
    <x v="0"/>
  </r>
  <r>
    <x v="0"/>
    <s v="球磨郡山江村"/>
    <x v="47"/>
    <x v="3"/>
    <n v="1"/>
    <n v="2"/>
    <n v="0"/>
    <n v="0"/>
    <n v="0"/>
    <n v="0"/>
    <x v="0"/>
  </r>
  <r>
    <x v="0"/>
    <s v="球磨郡山江村"/>
    <x v="47"/>
    <x v="4"/>
    <n v="0"/>
    <n v="0"/>
    <n v="0"/>
    <n v="0"/>
    <n v="0"/>
    <n v="0"/>
    <x v="0"/>
  </r>
  <r>
    <x v="0"/>
    <s v="球磨郡山江村"/>
    <x v="47"/>
    <x v="5"/>
    <n v="3"/>
    <n v="6"/>
    <n v="2"/>
    <n v="5.41"/>
    <n v="1"/>
    <n v="9.09"/>
    <x v="0"/>
  </r>
  <r>
    <x v="0"/>
    <s v="球磨郡山江村"/>
    <x v="47"/>
    <x v="6"/>
    <n v="10"/>
    <n v="20"/>
    <n v="6"/>
    <n v="16.22"/>
    <n v="4"/>
    <n v="36.36"/>
    <x v="0"/>
  </r>
  <r>
    <x v="0"/>
    <s v="球磨郡山江村"/>
    <x v="47"/>
    <x v="7"/>
    <n v="0"/>
    <n v="0"/>
    <n v="0"/>
    <n v="0"/>
    <n v="0"/>
    <n v="0"/>
    <x v="0"/>
  </r>
  <r>
    <x v="0"/>
    <s v="球磨郡山江村"/>
    <x v="47"/>
    <x v="8"/>
    <n v="1"/>
    <n v="2"/>
    <n v="1"/>
    <n v="2.7"/>
    <n v="0"/>
    <n v="0"/>
    <x v="0"/>
  </r>
  <r>
    <x v="0"/>
    <s v="球磨郡山江村"/>
    <x v="47"/>
    <x v="9"/>
    <n v="2"/>
    <n v="4"/>
    <n v="1"/>
    <n v="2.7"/>
    <n v="1"/>
    <n v="9.09"/>
    <x v="0"/>
  </r>
  <r>
    <x v="0"/>
    <s v="球磨郡山江村"/>
    <x v="47"/>
    <x v="10"/>
    <n v="2"/>
    <n v="4"/>
    <n v="2"/>
    <n v="5.41"/>
    <n v="0"/>
    <n v="0"/>
    <x v="0"/>
  </r>
  <r>
    <x v="0"/>
    <s v="球磨郡山江村"/>
    <x v="47"/>
    <x v="11"/>
    <n v="6"/>
    <n v="12"/>
    <n v="6"/>
    <n v="16.22"/>
    <n v="0"/>
    <n v="0"/>
    <x v="0"/>
  </r>
  <r>
    <x v="0"/>
    <s v="球磨郡山江村"/>
    <x v="47"/>
    <x v="12"/>
    <n v="1"/>
    <n v="2"/>
    <n v="0"/>
    <n v="0"/>
    <n v="0"/>
    <n v="0"/>
    <x v="0"/>
  </r>
  <r>
    <x v="0"/>
    <s v="球磨郡山江村"/>
    <x v="47"/>
    <x v="13"/>
    <n v="1"/>
    <n v="2"/>
    <n v="1"/>
    <n v="2.7"/>
    <n v="0"/>
    <n v="0"/>
    <x v="0"/>
  </r>
  <r>
    <x v="0"/>
    <s v="球磨郡山江村"/>
    <x v="47"/>
    <x v="14"/>
    <n v="2"/>
    <n v="4"/>
    <n v="2"/>
    <n v="5.41"/>
    <n v="0"/>
    <n v="0"/>
    <x v="0"/>
  </r>
  <r>
    <x v="0"/>
    <s v="球磨郡球磨村"/>
    <x v="48"/>
    <x v="0"/>
    <n v="0"/>
    <n v="0"/>
    <n v="0"/>
    <n v="0"/>
    <n v="0"/>
    <n v="0"/>
    <x v="0"/>
  </r>
  <r>
    <x v="0"/>
    <s v="球磨郡球磨村"/>
    <x v="48"/>
    <x v="1"/>
    <n v="12"/>
    <n v="34.29"/>
    <n v="11"/>
    <n v="45.83"/>
    <n v="1"/>
    <n v="9.09"/>
    <x v="0"/>
  </r>
  <r>
    <x v="0"/>
    <s v="球磨郡球磨村"/>
    <x v="48"/>
    <x v="2"/>
    <n v="6"/>
    <n v="17.14"/>
    <n v="1"/>
    <n v="4.17"/>
    <n v="5"/>
    <n v="45.45"/>
    <x v="0"/>
  </r>
  <r>
    <x v="0"/>
    <s v="球磨郡球磨村"/>
    <x v="48"/>
    <x v="3"/>
    <n v="0"/>
    <n v="0"/>
    <n v="0"/>
    <n v="0"/>
    <n v="0"/>
    <n v="0"/>
    <x v="0"/>
  </r>
  <r>
    <x v="0"/>
    <s v="球磨郡球磨村"/>
    <x v="48"/>
    <x v="4"/>
    <n v="0"/>
    <n v="0"/>
    <n v="0"/>
    <n v="0"/>
    <n v="0"/>
    <n v="0"/>
    <x v="0"/>
  </r>
  <r>
    <x v="0"/>
    <s v="球磨郡球磨村"/>
    <x v="48"/>
    <x v="5"/>
    <n v="0"/>
    <n v="0"/>
    <n v="0"/>
    <n v="0"/>
    <n v="0"/>
    <n v="0"/>
    <x v="0"/>
  </r>
  <r>
    <x v="0"/>
    <s v="球磨郡球磨村"/>
    <x v="48"/>
    <x v="6"/>
    <n v="8"/>
    <n v="22.86"/>
    <n v="6"/>
    <n v="25"/>
    <n v="2"/>
    <n v="18.18"/>
    <x v="0"/>
  </r>
  <r>
    <x v="0"/>
    <s v="球磨郡球磨村"/>
    <x v="48"/>
    <x v="7"/>
    <n v="0"/>
    <n v="0"/>
    <n v="0"/>
    <n v="0"/>
    <n v="0"/>
    <n v="0"/>
    <x v="0"/>
  </r>
  <r>
    <x v="0"/>
    <s v="球磨郡球磨村"/>
    <x v="48"/>
    <x v="8"/>
    <n v="1"/>
    <n v="2.86"/>
    <n v="1"/>
    <n v="4.17"/>
    <n v="0"/>
    <n v="0"/>
    <x v="0"/>
  </r>
  <r>
    <x v="0"/>
    <s v="球磨郡球磨村"/>
    <x v="48"/>
    <x v="9"/>
    <n v="1"/>
    <n v="2.86"/>
    <n v="0"/>
    <n v="0"/>
    <n v="1"/>
    <n v="9.09"/>
    <x v="0"/>
  </r>
  <r>
    <x v="0"/>
    <s v="球磨郡球磨村"/>
    <x v="48"/>
    <x v="10"/>
    <n v="0"/>
    <n v="0"/>
    <n v="0"/>
    <n v="0"/>
    <n v="0"/>
    <n v="0"/>
    <x v="0"/>
  </r>
  <r>
    <x v="0"/>
    <s v="球磨郡球磨村"/>
    <x v="48"/>
    <x v="11"/>
    <n v="3"/>
    <n v="8.57"/>
    <n v="2"/>
    <n v="8.33"/>
    <n v="1"/>
    <n v="9.09"/>
    <x v="0"/>
  </r>
  <r>
    <x v="0"/>
    <s v="球磨郡球磨村"/>
    <x v="48"/>
    <x v="12"/>
    <n v="2"/>
    <n v="5.71"/>
    <n v="1"/>
    <n v="4.17"/>
    <n v="1"/>
    <n v="9.09"/>
    <x v="0"/>
  </r>
  <r>
    <x v="0"/>
    <s v="球磨郡球磨村"/>
    <x v="48"/>
    <x v="13"/>
    <n v="0"/>
    <n v="0"/>
    <n v="0"/>
    <n v="0"/>
    <n v="0"/>
    <n v="0"/>
    <x v="0"/>
  </r>
  <r>
    <x v="0"/>
    <s v="球磨郡球磨村"/>
    <x v="48"/>
    <x v="14"/>
    <n v="2"/>
    <n v="5.71"/>
    <n v="2"/>
    <n v="8.33"/>
    <n v="0"/>
    <n v="0"/>
    <x v="0"/>
  </r>
  <r>
    <x v="0"/>
    <s v="球磨郡あさぎり町"/>
    <x v="49"/>
    <x v="0"/>
    <n v="0"/>
    <n v="0"/>
    <n v="0"/>
    <n v="0"/>
    <n v="0"/>
    <n v="0"/>
    <x v="0"/>
  </r>
  <r>
    <x v="0"/>
    <s v="球磨郡あさぎり町"/>
    <x v="49"/>
    <x v="1"/>
    <n v="44"/>
    <n v="12.09"/>
    <n v="27"/>
    <n v="11.89"/>
    <n v="17"/>
    <n v="12.88"/>
    <x v="0"/>
  </r>
  <r>
    <x v="0"/>
    <s v="球磨郡あさぎり町"/>
    <x v="49"/>
    <x v="2"/>
    <n v="43"/>
    <n v="11.81"/>
    <n v="14"/>
    <n v="6.17"/>
    <n v="29"/>
    <n v="21.97"/>
    <x v="0"/>
  </r>
  <r>
    <x v="0"/>
    <s v="球磨郡あさぎり町"/>
    <x v="49"/>
    <x v="3"/>
    <n v="1"/>
    <n v="0.27"/>
    <n v="0"/>
    <n v="0"/>
    <n v="0"/>
    <n v="0"/>
    <x v="0"/>
  </r>
  <r>
    <x v="0"/>
    <s v="球磨郡あさぎり町"/>
    <x v="49"/>
    <x v="4"/>
    <n v="1"/>
    <n v="0.27"/>
    <n v="1"/>
    <n v="0.44"/>
    <n v="0"/>
    <n v="0"/>
    <x v="0"/>
  </r>
  <r>
    <x v="0"/>
    <s v="球磨郡あさぎり町"/>
    <x v="49"/>
    <x v="5"/>
    <n v="3"/>
    <n v="0.82"/>
    <n v="0"/>
    <n v="0"/>
    <n v="3"/>
    <n v="2.27"/>
    <x v="0"/>
  </r>
  <r>
    <x v="0"/>
    <s v="球磨郡あさぎり町"/>
    <x v="49"/>
    <x v="6"/>
    <n v="106"/>
    <n v="29.12"/>
    <n v="56"/>
    <n v="24.67"/>
    <n v="50"/>
    <n v="37.880000000000003"/>
    <x v="0"/>
  </r>
  <r>
    <x v="0"/>
    <s v="球磨郡あさぎり町"/>
    <x v="49"/>
    <x v="7"/>
    <n v="1"/>
    <n v="0.27"/>
    <n v="1"/>
    <n v="0.44"/>
    <n v="0"/>
    <n v="0"/>
    <x v="0"/>
  </r>
  <r>
    <x v="0"/>
    <s v="球磨郡あさぎり町"/>
    <x v="49"/>
    <x v="8"/>
    <n v="7"/>
    <n v="1.92"/>
    <n v="0"/>
    <n v="0"/>
    <n v="7"/>
    <n v="5.3"/>
    <x v="0"/>
  </r>
  <r>
    <x v="0"/>
    <s v="球磨郡あさぎり町"/>
    <x v="49"/>
    <x v="9"/>
    <n v="15"/>
    <n v="4.12"/>
    <n v="10"/>
    <n v="4.41"/>
    <n v="5"/>
    <n v="3.79"/>
    <x v="0"/>
  </r>
  <r>
    <x v="0"/>
    <s v="球磨郡あさぎり町"/>
    <x v="49"/>
    <x v="10"/>
    <n v="49"/>
    <n v="13.46"/>
    <n v="43"/>
    <n v="18.940000000000001"/>
    <n v="5"/>
    <n v="3.79"/>
    <x v="0"/>
  </r>
  <r>
    <x v="0"/>
    <s v="球磨郡あさぎり町"/>
    <x v="49"/>
    <x v="11"/>
    <n v="59"/>
    <n v="16.21"/>
    <n v="54"/>
    <n v="23.79"/>
    <n v="4"/>
    <n v="3.03"/>
    <x v="0"/>
  </r>
  <r>
    <x v="0"/>
    <s v="球磨郡あさぎり町"/>
    <x v="49"/>
    <x v="12"/>
    <n v="4"/>
    <n v="1.1000000000000001"/>
    <n v="4"/>
    <n v="1.76"/>
    <n v="0"/>
    <n v="0"/>
    <x v="0"/>
  </r>
  <r>
    <x v="0"/>
    <s v="球磨郡あさぎり町"/>
    <x v="49"/>
    <x v="13"/>
    <n v="19"/>
    <n v="5.22"/>
    <n v="9"/>
    <n v="3.96"/>
    <n v="10"/>
    <n v="7.58"/>
    <x v="0"/>
  </r>
  <r>
    <x v="0"/>
    <s v="球磨郡あさぎり町"/>
    <x v="49"/>
    <x v="14"/>
    <n v="12"/>
    <n v="3.3"/>
    <n v="8"/>
    <n v="3.52"/>
    <n v="2"/>
    <n v="1.52"/>
    <x v="9"/>
  </r>
  <r>
    <x v="0"/>
    <s v="天草郡苓北町"/>
    <x v="50"/>
    <x v="0"/>
    <n v="0"/>
    <n v="0"/>
    <n v="0"/>
    <n v="0"/>
    <n v="0"/>
    <n v="0"/>
    <x v="0"/>
  </r>
  <r>
    <x v="0"/>
    <s v="天草郡苓北町"/>
    <x v="50"/>
    <x v="1"/>
    <n v="35"/>
    <n v="17.5"/>
    <n v="16"/>
    <n v="13.22"/>
    <n v="19"/>
    <n v="26.76"/>
    <x v="0"/>
  </r>
  <r>
    <x v="0"/>
    <s v="天草郡苓北町"/>
    <x v="50"/>
    <x v="2"/>
    <n v="10"/>
    <n v="5"/>
    <n v="5"/>
    <n v="4.13"/>
    <n v="5"/>
    <n v="7.04"/>
    <x v="0"/>
  </r>
  <r>
    <x v="0"/>
    <s v="天草郡苓北町"/>
    <x v="50"/>
    <x v="3"/>
    <n v="1"/>
    <n v="0.5"/>
    <n v="0"/>
    <n v="0"/>
    <n v="1"/>
    <n v="1.41"/>
    <x v="0"/>
  </r>
  <r>
    <x v="0"/>
    <s v="天草郡苓北町"/>
    <x v="50"/>
    <x v="4"/>
    <n v="1"/>
    <n v="0.5"/>
    <n v="0"/>
    <n v="0"/>
    <n v="1"/>
    <n v="1.41"/>
    <x v="0"/>
  </r>
  <r>
    <x v="0"/>
    <s v="天草郡苓北町"/>
    <x v="50"/>
    <x v="5"/>
    <n v="4"/>
    <n v="2"/>
    <n v="3"/>
    <n v="2.48"/>
    <n v="1"/>
    <n v="1.41"/>
    <x v="0"/>
  </r>
  <r>
    <x v="0"/>
    <s v="天草郡苓北町"/>
    <x v="50"/>
    <x v="6"/>
    <n v="68"/>
    <n v="34"/>
    <n v="44"/>
    <n v="36.36"/>
    <n v="23"/>
    <n v="32.39"/>
    <x v="9"/>
  </r>
  <r>
    <x v="0"/>
    <s v="天草郡苓北町"/>
    <x v="50"/>
    <x v="7"/>
    <n v="0"/>
    <n v="0"/>
    <n v="0"/>
    <n v="0"/>
    <n v="0"/>
    <n v="0"/>
    <x v="0"/>
  </r>
  <r>
    <x v="0"/>
    <s v="天草郡苓北町"/>
    <x v="50"/>
    <x v="8"/>
    <n v="5"/>
    <n v="2.5"/>
    <n v="0"/>
    <n v="0"/>
    <n v="5"/>
    <n v="7.04"/>
    <x v="0"/>
  </r>
  <r>
    <x v="0"/>
    <s v="天草郡苓北町"/>
    <x v="50"/>
    <x v="9"/>
    <n v="4"/>
    <n v="2"/>
    <n v="3"/>
    <n v="2.48"/>
    <n v="1"/>
    <n v="1.41"/>
    <x v="0"/>
  </r>
  <r>
    <x v="0"/>
    <s v="天草郡苓北町"/>
    <x v="50"/>
    <x v="10"/>
    <n v="25"/>
    <n v="12.5"/>
    <n v="20"/>
    <n v="16.53"/>
    <n v="4"/>
    <n v="5.63"/>
    <x v="9"/>
  </r>
  <r>
    <x v="0"/>
    <s v="天草郡苓北町"/>
    <x v="50"/>
    <x v="11"/>
    <n v="28"/>
    <n v="14"/>
    <n v="24"/>
    <n v="19.829999999999998"/>
    <n v="4"/>
    <n v="5.63"/>
    <x v="0"/>
  </r>
  <r>
    <x v="0"/>
    <s v="天草郡苓北町"/>
    <x v="50"/>
    <x v="12"/>
    <n v="8"/>
    <n v="4"/>
    <n v="2"/>
    <n v="1.65"/>
    <n v="1"/>
    <n v="1.41"/>
    <x v="0"/>
  </r>
  <r>
    <x v="0"/>
    <s v="天草郡苓北町"/>
    <x v="50"/>
    <x v="13"/>
    <n v="5"/>
    <n v="2.5"/>
    <n v="1"/>
    <n v="0.83"/>
    <n v="4"/>
    <n v="5.63"/>
    <x v="0"/>
  </r>
  <r>
    <x v="0"/>
    <s v="天草郡苓北町"/>
    <x v="50"/>
    <x v="14"/>
    <n v="6"/>
    <n v="3"/>
    <n v="3"/>
    <n v="2.48"/>
    <n v="2"/>
    <n v="2.8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6"/>
  </r>
  <r>
    <x v="0"/>
    <x v="0"/>
    <x v="0"/>
    <x v="10"/>
    <x v="10"/>
    <x v="10"/>
    <x v="10"/>
    <x v="10"/>
    <x v="10"/>
    <x v="10"/>
    <x v="10"/>
    <x v="10"/>
    <x v="10"/>
    <x v="7"/>
  </r>
  <r>
    <x v="0"/>
    <x v="0"/>
    <x v="0"/>
    <x v="11"/>
    <x v="11"/>
    <x v="11"/>
    <x v="11"/>
    <x v="11"/>
    <x v="11"/>
    <x v="11"/>
    <x v="11"/>
    <x v="11"/>
    <x v="11"/>
    <x v="3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3"/>
  </r>
  <r>
    <x v="0"/>
    <x v="0"/>
    <x v="0"/>
    <x v="14"/>
    <x v="14"/>
    <x v="14"/>
    <x v="14"/>
    <x v="14"/>
    <x v="14"/>
    <x v="14"/>
    <x v="14"/>
    <x v="14"/>
    <x v="14"/>
    <x v="3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6"/>
    <x v="16"/>
    <x v="8"/>
  </r>
  <r>
    <x v="0"/>
    <x v="0"/>
    <x v="0"/>
    <x v="17"/>
    <x v="17"/>
    <x v="17"/>
    <x v="17"/>
    <x v="17"/>
    <x v="17"/>
    <x v="17"/>
    <x v="17"/>
    <x v="17"/>
    <x v="17"/>
    <x v="3"/>
  </r>
  <r>
    <x v="0"/>
    <x v="0"/>
    <x v="0"/>
    <x v="18"/>
    <x v="18"/>
    <x v="18"/>
    <x v="18"/>
    <x v="18"/>
    <x v="18"/>
    <x v="18"/>
    <x v="18"/>
    <x v="18"/>
    <x v="18"/>
    <x v="7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0"/>
    <x v="0"/>
    <x v="0"/>
    <x v="0"/>
    <x v="20"/>
    <x v="20"/>
    <x v="20"/>
    <x v="20"/>
    <x v="20"/>
    <x v="15"/>
    <x v="3"/>
  </r>
  <r>
    <x v="0"/>
    <x v="1"/>
    <x v="1"/>
    <x v="1"/>
    <x v="1"/>
    <x v="1"/>
    <x v="1"/>
    <x v="21"/>
    <x v="21"/>
    <x v="21"/>
    <x v="21"/>
    <x v="21"/>
    <x v="20"/>
    <x v="3"/>
  </r>
  <r>
    <x v="0"/>
    <x v="1"/>
    <x v="1"/>
    <x v="4"/>
    <x v="4"/>
    <x v="4"/>
    <x v="2"/>
    <x v="22"/>
    <x v="22"/>
    <x v="22"/>
    <x v="22"/>
    <x v="22"/>
    <x v="21"/>
    <x v="4"/>
  </r>
  <r>
    <x v="0"/>
    <x v="1"/>
    <x v="1"/>
    <x v="2"/>
    <x v="2"/>
    <x v="2"/>
    <x v="3"/>
    <x v="23"/>
    <x v="23"/>
    <x v="23"/>
    <x v="23"/>
    <x v="23"/>
    <x v="22"/>
    <x v="0"/>
  </r>
  <r>
    <x v="0"/>
    <x v="1"/>
    <x v="1"/>
    <x v="3"/>
    <x v="3"/>
    <x v="3"/>
    <x v="4"/>
    <x v="24"/>
    <x v="24"/>
    <x v="24"/>
    <x v="24"/>
    <x v="24"/>
    <x v="23"/>
    <x v="3"/>
  </r>
  <r>
    <x v="0"/>
    <x v="1"/>
    <x v="1"/>
    <x v="10"/>
    <x v="10"/>
    <x v="10"/>
    <x v="5"/>
    <x v="25"/>
    <x v="25"/>
    <x v="25"/>
    <x v="25"/>
    <x v="25"/>
    <x v="24"/>
    <x v="0"/>
  </r>
  <r>
    <x v="0"/>
    <x v="1"/>
    <x v="1"/>
    <x v="5"/>
    <x v="5"/>
    <x v="5"/>
    <x v="6"/>
    <x v="26"/>
    <x v="26"/>
    <x v="26"/>
    <x v="26"/>
    <x v="26"/>
    <x v="25"/>
    <x v="0"/>
  </r>
  <r>
    <x v="0"/>
    <x v="1"/>
    <x v="1"/>
    <x v="8"/>
    <x v="8"/>
    <x v="8"/>
    <x v="7"/>
    <x v="27"/>
    <x v="27"/>
    <x v="27"/>
    <x v="27"/>
    <x v="27"/>
    <x v="26"/>
    <x v="3"/>
  </r>
  <r>
    <x v="0"/>
    <x v="1"/>
    <x v="1"/>
    <x v="6"/>
    <x v="6"/>
    <x v="6"/>
    <x v="8"/>
    <x v="28"/>
    <x v="28"/>
    <x v="28"/>
    <x v="28"/>
    <x v="28"/>
    <x v="27"/>
    <x v="3"/>
  </r>
  <r>
    <x v="0"/>
    <x v="1"/>
    <x v="1"/>
    <x v="9"/>
    <x v="9"/>
    <x v="9"/>
    <x v="9"/>
    <x v="29"/>
    <x v="29"/>
    <x v="29"/>
    <x v="29"/>
    <x v="29"/>
    <x v="28"/>
    <x v="1"/>
  </r>
  <r>
    <x v="0"/>
    <x v="1"/>
    <x v="1"/>
    <x v="12"/>
    <x v="12"/>
    <x v="12"/>
    <x v="10"/>
    <x v="30"/>
    <x v="30"/>
    <x v="30"/>
    <x v="30"/>
    <x v="30"/>
    <x v="29"/>
    <x v="3"/>
  </r>
  <r>
    <x v="0"/>
    <x v="1"/>
    <x v="1"/>
    <x v="11"/>
    <x v="11"/>
    <x v="11"/>
    <x v="11"/>
    <x v="31"/>
    <x v="31"/>
    <x v="31"/>
    <x v="31"/>
    <x v="31"/>
    <x v="30"/>
    <x v="3"/>
  </r>
  <r>
    <x v="0"/>
    <x v="1"/>
    <x v="1"/>
    <x v="13"/>
    <x v="13"/>
    <x v="13"/>
    <x v="12"/>
    <x v="32"/>
    <x v="32"/>
    <x v="32"/>
    <x v="32"/>
    <x v="32"/>
    <x v="31"/>
    <x v="3"/>
  </r>
  <r>
    <x v="0"/>
    <x v="1"/>
    <x v="1"/>
    <x v="7"/>
    <x v="7"/>
    <x v="7"/>
    <x v="13"/>
    <x v="33"/>
    <x v="33"/>
    <x v="33"/>
    <x v="33"/>
    <x v="33"/>
    <x v="32"/>
    <x v="3"/>
  </r>
  <r>
    <x v="0"/>
    <x v="1"/>
    <x v="1"/>
    <x v="15"/>
    <x v="15"/>
    <x v="15"/>
    <x v="14"/>
    <x v="34"/>
    <x v="34"/>
    <x v="34"/>
    <x v="34"/>
    <x v="34"/>
    <x v="33"/>
    <x v="0"/>
  </r>
  <r>
    <x v="0"/>
    <x v="1"/>
    <x v="1"/>
    <x v="17"/>
    <x v="17"/>
    <x v="17"/>
    <x v="15"/>
    <x v="35"/>
    <x v="35"/>
    <x v="35"/>
    <x v="35"/>
    <x v="35"/>
    <x v="34"/>
    <x v="3"/>
  </r>
  <r>
    <x v="0"/>
    <x v="1"/>
    <x v="1"/>
    <x v="20"/>
    <x v="20"/>
    <x v="20"/>
    <x v="16"/>
    <x v="36"/>
    <x v="36"/>
    <x v="36"/>
    <x v="36"/>
    <x v="36"/>
    <x v="35"/>
    <x v="3"/>
  </r>
  <r>
    <x v="0"/>
    <x v="1"/>
    <x v="1"/>
    <x v="16"/>
    <x v="16"/>
    <x v="16"/>
    <x v="17"/>
    <x v="37"/>
    <x v="37"/>
    <x v="37"/>
    <x v="37"/>
    <x v="37"/>
    <x v="36"/>
    <x v="3"/>
  </r>
  <r>
    <x v="0"/>
    <x v="1"/>
    <x v="1"/>
    <x v="21"/>
    <x v="21"/>
    <x v="21"/>
    <x v="18"/>
    <x v="38"/>
    <x v="38"/>
    <x v="38"/>
    <x v="38"/>
    <x v="38"/>
    <x v="37"/>
    <x v="9"/>
  </r>
  <r>
    <x v="0"/>
    <x v="1"/>
    <x v="1"/>
    <x v="14"/>
    <x v="14"/>
    <x v="14"/>
    <x v="19"/>
    <x v="39"/>
    <x v="39"/>
    <x v="39"/>
    <x v="39"/>
    <x v="39"/>
    <x v="38"/>
    <x v="3"/>
  </r>
  <r>
    <x v="0"/>
    <x v="2"/>
    <x v="2"/>
    <x v="1"/>
    <x v="1"/>
    <x v="1"/>
    <x v="0"/>
    <x v="40"/>
    <x v="40"/>
    <x v="40"/>
    <x v="40"/>
    <x v="40"/>
    <x v="39"/>
    <x v="3"/>
  </r>
  <r>
    <x v="0"/>
    <x v="2"/>
    <x v="2"/>
    <x v="4"/>
    <x v="4"/>
    <x v="4"/>
    <x v="1"/>
    <x v="15"/>
    <x v="41"/>
    <x v="41"/>
    <x v="41"/>
    <x v="41"/>
    <x v="40"/>
    <x v="0"/>
  </r>
  <r>
    <x v="0"/>
    <x v="2"/>
    <x v="2"/>
    <x v="0"/>
    <x v="0"/>
    <x v="0"/>
    <x v="2"/>
    <x v="27"/>
    <x v="42"/>
    <x v="42"/>
    <x v="42"/>
    <x v="42"/>
    <x v="41"/>
    <x v="3"/>
  </r>
  <r>
    <x v="0"/>
    <x v="2"/>
    <x v="2"/>
    <x v="2"/>
    <x v="2"/>
    <x v="2"/>
    <x v="3"/>
    <x v="41"/>
    <x v="43"/>
    <x v="43"/>
    <x v="43"/>
    <x v="43"/>
    <x v="42"/>
    <x v="3"/>
  </r>
  <r>
    <x v="0"/>
    <x v="2"/>
    <x v="2"/>
    <x v="10"/>
    <x v="10"/>
    <x v="10"/>
    <x v="4"/>
    <x v="42"/>
    <x v="44"/>
    <x v="44"/>
    <x v="44"/>
    <x v="44"/>
    <x v="43"/>
    <x v="0"/>
  </r>
  <r>
    <x v="0"/>
    <x v="2"/>
    <x v="2"/>
    <x v="12"/>
    <x v="12"/>
    <x v="12"/>
    <x v="5"/>
    <x v="43"/>
    <x v="45"/>
    <x v="45"/>
    <x v="45"/>
    <x v="45"/>
    <x v="44"/>
    <x v="3"/>
  </r>
  <r>
    <x v="0"/>
    <x v="2"/>
    <x v="2"/>
    <x v="5"/>
    <x v="5"/>
    <x v="5"/>
    <x v="6"/>
    <x v="44"/>
    <x v="46"/>
    <x v="32"/>
    <x v="46"/>
    <x v="46"/>
    <x v="45"/>
    <x v="3"/>
  </r>
  <r>
    <x v="0"/>
    <x v="2"/>
    <x v="2"/>
    <x v="15"/>
    <x v="15"/>
    <x v="15"/>
    <x v="7"/>
    <x v="45"/>
    <x v="47"/>
    <x v="46"/>
    <x v="47"/>
    <x v="14"/>
    <x v="46"/>
    <x v="0"/>
  </r>
  <r>
    <x v="0"/>
    <x v="2"/>
    <x v="2"/>
    <x v="9"/>
    <x v="9"/>
    <x v="9"/>
    <x v="8"/>
    <x v="46"/>
    <x v="48"/>
    <x v="47"/>
    <x v="48"/>
    <x v="47"/>
    <x v="47"/>
    <x v="0"/>
  </r>
  <r>
    <x v="0"/>
    <x v="2"/>
    <x v="2"/>
    <x v="3"/>
    <x v="3"/>
    <x v="3"/>
    <x v="9"/>
    <x v="47"/>
    <x v="49"/>
    <x v="48"/>
    <x v="36"/>
    <x v="48"/>
    <x v="48"/>
    <x v="3"/>
  </r>
  <r>
    <x v="0"/>
    <x v="2"/>
    <x v="2"/>
    <x v="13"/>
    <x v="13"/>
    <x v="13"/>
    <x v="10"/>
    <x v="48"/>
    <x v="50"/>
    <x v="49"/>
    <x v="49"/>
    <x v="11"/>
    <x v="49"/>
    <x v="3"/>
  </r>
  <r>
    <x v="0"/>
    <x v="2"/>
    <x v="2"/>
    <x v="11"/>
    <x v="11"/>
    <x v="11"/>
    <x v="11"/>
    <x v="49"/>
    <x v="51"/>
    <x v="50"/>
    <x v="50"/>
    <x v="49"/>
    <x v="50"/>
    <x v="3"/>
  </r>
  <r>
    <x v="0"/>
    <x v="2"/>
    <x v="2"/>
    <x v="17"/>
    <x v="17"/>
    <x v="17"/>
    <x v="12"/>
    <x v="50"/>
    <x v="52"/>
    <x v="51"/>
    <x v="51"/>
    <x v="50"/>
    <x v="51"/>
    <x v="3"/>
  </r>
  <r>
    <x v="0"/>
    <x v="2"/>
    <x v="2"/>
    <x v="8"/>
    <x v="8"/>
    <x v="8"/>
    <x v="13"/>
    <x v="51"/>
    <x v="53"/>
    <x v="52"/>
    <x v="52"/>
    <x v="51"/>
    <x v="17"/>
    <x v="3"/>
  </r>
  <r>
    <x v="0"/>
    <x v="2"/>
    <x v="2"/>
    <x v="20"/>
    <x v="20"/>
    <x v="20"/>
    <x v="14"/>
    <x v="52"/>
    <x v="54"/>
    <x v="16"/>
    <x v="53"/>
    <x v="52"/>
    <x v="52"/>
    <x v="3"/>
  </r>
  <r>
    <x v="0"/>
    <x v="2"/>
    <x v="2"/>
    <x v="7"/>
    <x v="7"/>
    <x v="7"/>
    <x v="15"/>
    <x v="53"/>
    <x v="55"/>
    <x v="17"/>
    <x v="54"/>
    <x v="53"/>
    <x v="53"/>
    <x v="3"/>
  </r>
  <r>
    <x v="0"/>
    <x v="2"/>
    <x v="2"/>
    <x v="6"/>
    <x v="6"/>
    <x v="6"/>
    <x v="16"/>
    <x v="54"/>
    <x v="37"/>
    <x v="35"/>
    <x v="55"/>
    <x v="31"/>
    <x v="54"/>
    <x v="3"/>
  </r>
  <r>
    <x v="0"/>
    <x v="2"/>
    <x v="2"/>
    <x v="21"/>
    <x v="21"/>
    <x v="21"/>
    <x v="17"/>
    <x v="55"/>
    <x v="56"/>
    <x v="52"/>
    <x v="52"/>
    <x v="54"/>
    <x v="55"/>
    <x v="8"/>
  </r>
  <r>
    <x v="0"/>
    <x v="2"/>
    <x v="2"/>
    <x v="22"/>
    <x v="22"/>
    <x v="22"/>
    <x v="18"/>
    <x v="56"/>
    <x v="57"/>
    <x v="53"/>
    <x v="56"/>
    <x v="55"/>
    <x v="56"/>
    <x v="3"/>
  </r>
  <r>
    <x v="0"/>
    <x v="2"/>
    <x v="2"/>
    <x v="23"/>
    <x v="23"/>
    <x v="23"/>
    <x v="19"/>
    <x v="57"/>
    <x v="58"/>
    <x v="54"/>
    <x v="57"/>
    <x v="56"/>
    <x v="57"/>
    <x v="3"/>
  </r>
  <r>
    <x v="0"/>
    <x v="3"/>
    <x v="3"/>
    <x v="0"/>
    <x v="0"/>
    <x v="0"/>
    <x v="0"/>
    <x v="58"/>
    <x v="59"/>
    <x v="55"/>
    <x v="58"/>
    <x v="57"/>
    <x v="58"/>
    <x v="3"/>
  </r>
  <r>
    <x v="0"/>
    <x v="3"/>
    <x v="3"/>
    <x v="4"/>
    <x v="4"/>
    <x v="4"/>
    <x v="1"/>
    <x v="59"/>
    <x v="60"/>
    <x v="17"/>
    <x v="59"/>
    <x v="58"/>
    <x v="59"/>
    <x v="3"/>
  </r>
  <r>
    <x v="0"/>
    <x v="3"/>
    <x v="3"/>
    <x v="3"/>
    <x v="3"/>
    <x v="3"/>
    <x v="2"/>
    <x v="60"/>
    <x v="61"/>
    <x v="49"/>
    <x v="60"/>
    <x v="59"/>
    <x v="60"/>
    <x v="3"/>
  </r>
  <r>
    <x v="0"/>
    <x v="3"/>
    <x v="3"/>
    <x v="1"/>
    <x v="1"/>
    <x v="1"/>
    <x v="3"/>
    <x v="61"/>
    <x v="44"/>
    <x v="56"/>
    <x v="61"/>
    <x v="60"/>
    <x v="61"/>
    <x v="3"/>
  </r>
  <r>
    <x v="0"/>
    <x v="3"/>
    <x v="3"/>
    <x v="8"/>
    <x v="8"/>
    <x v="8"/>
    <x v="4"/>
    <x v="62"/>
    <x v="62"/>
    <x v="57"/>
    <x v="62"/>
    <x v="29"/>
    <x v="62"/>
    <x v="3"/>
  </r>
  <r>
    <x v="0"/>
    <x v="3"/>
    <x v="3"/>
    <x v="6"/>
    <x v="6"/>
    <x v="6"/>
    <x v="5"/>
    <x v="63"/>
    <x v="63"/>
    <x v="58"/>
    <x v="63"/>
    <x v="61"/>
    <x v="63"/>
    <x v="3"/>
  </r>
  <r>
    <x v="0"/>
    <x v="3"/>
    <x v="3"/>
    <x v="10"/>
    <x v="10"/>
    <x v="10"/>
    <x v="6"/>
    <x v="64"/>
    <x v="64"/>
    <x v="59"/>
    <x v="64"/>
    <x v="62"/>
    <x v="64"/>
    <x v="3"/>
  </r>
  <r>
    <x v="0"/>
    <x v="3"/>
    <x v="3"/>
    <x v="2"/>
    <x v="2"/>
    <x v="2"/>
    <x v="7"/>
    <x v="65"/>
    <x v="65"/>
    <x v="60"/>
    <x v="65"/>
    <x v="63"/>
    <x v="65"/>
    <x v="3"/>
  </r>
  <r>
    <x v="0"/>
    <x v="3"/>
    <x v="3"/>
    <x v="7"/>
    <x v="7"/>
    <x v="7"/>
    <x v="8"/>
    <x v="66"/>
    <x v="66"/>
    <x v="61"/>
    <x v="66"/>
    <x v="64"/>
    <x v="66"/>
    <x v="3"/>
  </r>
  <r>
    <x v="0"/>
    <x v="3"/>
    <x v="3"/>
    <x v="13"/>
    <x v="13"/>
    <x v="13"/>
    <x v="9"/>
    <x v="67"/>
    <x v="67"/>
    <x v="62"/>
    <x v="8"/>
    <x v="65"/>
    <x v="67"/>
    <x v="3"/>
  </r>
  <r>
    <x v="0"/>
    <x v="3"/>
    <x v="3"/>
    <x v="9"/>
    <x v="9"/>
    <x v="9"/>
    <x v="10"/>
    <x v="68"/>
    <x v="68"/>
    <x v="63"/>
    <x v="67"/>
    <x v="66"/>
    <x v="68"/>
    <x v="3"/>
  </r>
  <r>
    <x v="0"/>
    <x v="3"/>
    <x v="3"/>
    <x v="11"/>
    <x v="11"/>
    <x v="11"/>
    <x v="11"/>
    <x v="69"/>
    <x v="69"/>
    <x v="64"/>
    <x v="68"/>
    <x v="67"/>
    <x v="69"/>
    <x v="3"/>
  </r>
  <r>
    <x v="0"/>
    <x v="3"/>
    <x v="3"/>
    <x v="5"/>
    <x v="5"/>
    <x v="5"/>
    <x v="12"/>
    <x v="70"/>
    <x v="47"/>
    <x v="65"/>
    <x v="69"/>
    <x v="68"/>
    <x v="70"/>
    <x v="3"/>
  </r>
  <r>
    <x v="0"/>
    <x v="3"/>
    <x v="3"/>
    <x v="15"/>
    <x v="15"/>
    <x v="15"/>
    <x v="13"/>
    <x v="71"/>
    <x v="70"/>
    <x v="46"/>
    <x v="70"/>
    <x v="69"/>
    <x v="71"/>
    <x v="3"/>
  </r>
  <r>
    <x v="0"/>
    <x v="3"/>
    <x v="3"/>
    <x v="17"/>
    <x v="17"/>
    <x v="17"/>
    <x v="14"/>
    <x v="72"/>
    <x v="71"/>
    <x v="54"/>
    <x v="71"/>
    <x v="70"/>
    <x v="72"/>
    <x v="3"/>
  </r>
  <r>
    <x v="0"/>
    <x v="3"/>
    <x v="3"/>
    <x v="20"/>
    <x v="20"/>
    <x v="20"/>
    <x v="15"/>
    <x v="73"/>
    <x v="72"/>
    <x v="66"/>
    <x v="72"/>
    <x v="71"/>
    <x v="15"/>
    <x v="3"/>
  </r>
  <r>
    <x v="0"/>
    <x v="3"/>
    <x v="3"/>
    <x v="12"/>
    <x v="12"/>
    <x v="12"/>
    <x v="16"/>
    <x v="56"/>
    <x v="73"/>
    <x v="49"/>
    <x v="60"/>
    <x v="68"/>
    <x v="70"/>
    <x v="3"/>
  </r>
  <r>
    <x v="0"/>
    <x v="3"/>
    <x v="3"/>
    <x v="14"/>
    <x v="14"/>
    <x v="14"/>
    <x v="17"/>
    <x v="74"/>
    <x v="74"/>
    <x v="67"/>
    <x v="73"/>
    <x v="72"/>
    <x v="73"/>
    <x v="3"/>
  </r>
  <r>
    <x v="0"/>
    <x v="3"/>
    <x v="3"/>
    <x v="22"/>
    <x v="22"/>
    <x v="22"/>
    <x v="18"/>
    <x v="75"/>
    <x v="75"/>
    <x v="68"/>
    <x v="74"/>
    <x v="73"/>
    <x v="74"/>
    <x v="3"/>
  </r>
  <r>
    <x v="0"/>
    <x v="3"/>
    <x v="3"/>
    <x v="24"/>
    <x v="24"/>
    <x v="24"/>
    <x v="19"/>
    <x v="76"/>
    <x v="17"/>
    <x v="54"/>
    <x v="71"/>
    <x v="74"/>
    <x v="75"/>
    <x v="3"/>
  </r>
  <r>
    <x v="0"/>
    <x v="4"/>
    <x v="4"/>
    <x v="0"/>
    <x v="0"/>
    <x v="0"/>
    <x v="0"/>
    <x v="77"/>
    <x v="76"/>
    <x v="69"/>
    <x v="75"/>
    <x v="75"/>
    <x v="76"/>
    <x v="3"/>
  </r>
  <r>
    <x v="0"/>
    <x v="4"/>
    <x v="4"/>
    <x v="2"/>
    <x v="2"/>
    <x v="2"/>
    <x v="1"/>
    <x v="78"/>
    <x v="60"/>
    <x v="70"/>
    <x v="76"/>
    <x v="76"/>
    <x v="77"/>
    <x v="3"/>
  </r>
  <r>
    <x v="0"/>
    <x v="4"/>
    <x v="4"/>
    <x v="4"/>
    <x v="4"/>
    <x v="4"/>
    <x v="2"/>
    <x v="79"/>
    <x v="77"/>
    <x v="71"/>
    <x v="77"/>
    <x v="54"/>
    <x v="78"/>
    <x v="1"/>
  </r>
  <r>
    <x v="0"/>
    <x v="4"/>
    <x v="4"/>
    <x v="5"/>
    <x v="5"/>
    <x v="5"/>
    <x v="3"/>
    <x v="80"/>
    <x v="78"/>
    <x v="72"/>
    <x v="78"/>
    <x v="77"/>
    <x v="79"/>
    <x v="3"/>
  </r>
  <r>
    <x v="0"/>
    <x v="4"/>
    <x v="4"/>
    <x v="3"/>
    <x v="3"/>
    <x v="3"/>
    <x v="4"/>
    <x v="72"/>
    <x v="79"/>
    <x v="46"/>
    <x v="79"/>
    <x v="78"/>
    <x v="80"/>
    <x v="3"/>
  </r>
  <r>
    <x v="0"/>
    <x v="4"/>
    <x v="4"/>
    <x v="1"/>
    <x v="1"/>
    <x v="1"/>
    <x v="5"/>
    <x v="81"/>
    <x v="80"/>
    <x v="73"/>
    <x v="80"/>
    <x v="79"/>
    <x v="81"/>
    <x v="3"/>
  </r>
  <r>
    <x v="0"/>
    <x v="4"/>
    <x v="4"/>
    <x v="19"/>
    <x v="19"/>
    <x v="19"/>
    <x v="6"/>
    <x v="82"/>
    <x v="81"/>
    <x v="35"/>
    <x v="81"/>
    <x v="53"/>
    <x v="82"/>
    <x v="3"/>
  </r>
  <r>
    <x v="0"/>
    <x v="4"/>
    <x v="4"/>
    <x v="6"/>
    <x v="6"/>
    <x v="6"/>
    <x v="7"/>
    <x v="83"/>
    <x v="46"/>
    <x v="66"/>
    <x v="82"/>
    <x v="80"/>
    <x v="83"/>
    <x v="3"/>
  </r>
  <r>
    <x v="0"/>
    <x v="4"/>
    <x v="4"/>
    <x v="10"/>
    <x v="10"/>
    <x v="10"/>
    <x v="8"/>
    <x v="84"/>
    <x v="82"/>
    <x v="74"/>
    <x v="83"/>
    <x v="81"/>
    <x v="84"/>
    <x v="3"/>
  </r>
  <r>
    <x v="0"/>
    <x v="4"/>
    <x v="4"/>
    <x v="7"/>
    <x v="7"/>
    <x v="7"/>
    <x v="9"/>
    <x v="85"/>
    <x v="83"/>
    <x v="75"/>
    <x v="84"/>
    <x v="67"/>
    <x v="85"/>
    <x v="3"/>
  </r>
  <r>
    <x v="0"/>
    <x v="4"/>
    <x v="4"/>
    <x v="12"/>
    <x v="12"/>
    <x v="12"/>
    <x v="10"/>
    <x v="86"/>
    <x v="84"/>
    <x v="76"/>
    <x v="85"/>
    <x v="82"/>
    <x v="86"/>
    <x v="3"/>
  </r>
  <r>
    <x v="0"/>
    <x v="4"/>
    <x v="4"/>
    <x v="11"/>
    <x v="11"/>
    <x v="11"/>
    <x v="11"/>
    <x v="87"/>
    <x v="85"/>
    <x v="77"/>
    <x v="86"/>
    <x v="83"/>
    <x v="87"/>
    <x v="3"/>
  </r>
  <r>
    <x v="0"/>
    <x v="4"/>
    <x v="4"/>
    <x v="8"/>
    <x v="8"/>
    <x v="8"/>
    <x v="12"/>
    <x v="88"/>
    <x v="86"/>
    <x v="76"/>
    <x v="85"/>
    <x v="84"/>
    <x v="20"/>
    <x v="3"/>
  </r>
  <r>
    <x v="0"/>
    <x v="4"/>
    <x v="4"/>
    <x v="18"/>
    <x v="18"/>
    <x v="18"/>
    <x v="13"/>
    <x v="89"/>
    <x v="87"/>
    <x v="76"/>
    <x v="85"/>
    <x v="85"/>
    <x v="88"/>
    <x v="3"/>
  </r>
  <r>
    <x v="0"/>
    <x v="4"/>
    <x v="4"/>
    <x v="9"/>
    <x v="9"/>
    <x v="9"/>
    <x v="13"/>
    <x v="89"/>
    <x v="87"/>
    <x v="78"/>
    <x v="87"/>
    <x v="86"/>
    <x v="89"/>
    <x v="3"/>
  </r>
  <r>
    <x v="0"/>
    <x v="4"/>
    <x v="4"/>
    <x v="16"/>
    <x v="16"/>
    <x v="16"/>
    <x v="15"/>
    <x v="90"/>
    <x v="88"/>
    <x v="79"/>
    <x v="88"/>
    <x v="87"/>
    <x v="66"/>
    <x v="3"/>
  </r>
  <r>
    <x v="0"/>
    <x v="4"/>
    <x v="4"/>
    <x v="20"/>
    <x v="20"/>
    <x v="20"/>
    <x v="16"/>
    <x v="91"/>
    <x v="89"/>
    <x v="52"/>
    <x v="89"/>
    <x v="73"/>
    <x v="90"/>
    <x v="3"/>
  </r>
  <r>
    <x v="0"/>
    <x v="4"/>
    <x v="4"/>
    <x v="15"/>
    <x v="15"/>
    <x v="15"/>
    <x v="17"/>
    <x v="92"/>
    <x v="90"/>
    <x v="52"/>
    <x v="89"/>
    <x v="81"/>
    <x v="84"/>
    <x v="3"/>
  </r>
  <r>
    <x v="0"/>
    <x v="4"/>
    <x v="4"/>
    <x v="13"/>
    <x v="13"/>
    <x v="13"/>
    <x v="17"/>
    <x v="92"/>
    <x v="90"/>
    <x v="16"/>
    <x v="90"/>
    <x v="79"/>
    <x v="81"/>
    <x v="3"/>
  </r>
  <r>
    <x v="0"/>
    <x v="4"/>
    <x v="4"/>
    <x v="14"/>
    <x v="14"/>
    <x v="14"/>
    <x v="19"/>
    <x v="93"/>
    <x v="91"/>
    <x v="76"/>
    <x v="85"/>
    <x v="88"/>
    <x v="91"/>
    <x v="3"/>
  </r>
  <r>
    <x v="0"/>
    <x v="5"/>
    <x v="5"/>
    <x v="0"/>
    <x v="0"/>
    <x v="0"/>
    <x v="0"/>
    <x v="94"/>
    <x v="92"/>
    <x v="80"/>
    <x v="91"/>
    <x v="80"/>
    <x v="7"/>
    <x v="3"/>
  </r>
  <r>
    <x v="0"/>
    <x v="5"/>
    <x v="5"/>
    <x v="3"/>
    <x v="3"/>
    <x v="3"/>
    <x v="1"/>
    <x v="95"/>
    <x v="93"/>
    <x v="75"/>
    <x v="92"/>
    <x v="89"/>
    <x v="92"/>
    <x v="3"/>
  </r>
  <r>
    <x v="0"/>
    <x v="5"/>
    <x v="5"/>
    <x v="4"/>
    <x v="4"/>
    <x v="4"/>
    <x v="2"/>
    <x v="96"/>
    <x v="94"/>
    <x v="17"/>
    <x v="7"/>
    <x v="90"/>
    <x v="93"/>
    <x v="0"/>
  </r>
  <r>
    <x v="0"/>
    <x v="5"/>
    <x v="5"/>
    <x v="2"/>
    <x v="2"/>
    <x v="2"/>
    <x v="3"/>
    <x v="97"/>
    <x v="95"/>
    <x v="73"/>
    <x v="93"/>
    <x v="51"/>
    <x v="94"/>
    <x v="0"/>
  </r>
  <r>
    <x v="0"/>
    <x v="5"/>
    <x v="5"/>
    <x v="6"/>
    <x v="6"/>
    <x v="6"/>
    <x v="4"/>
    <x v="98"/>
    <x v="96"/>
    <x v="70"/>
    <x v="94"/>
    <x v="91"/>
    <x v="95"/>
    <x v="3"/>
  </r>
  <r>
    <x v="0"/>
    <x v="5"/>
    <x v="5"/>
    <x v="8"/>
    <x v="8"/>
    <x v="8"/>
    <x v="5"/>
    <x v="50"/>
    <x v="97"/>
    <x v="81"/>
    <x v="95"/>
    <x v="42"/>
    <x v="96"/>
    <x v="3"/>
  </r>
  <r>
    <x v="0"/>
    <x v="5"/>
    <x v="5"/>
    <x v="1"/>
    <x v="1"/>
    <x v="1"/>
    <x v="6"/>
    <x v="51"/>
    <x v="98"/>
    <x v="82"/>
    <x v="96"/>
    <x v="87"/>
    <x v="97"/>
    <x v="3"/>
  </r>
  <r>
    <x v="0"/>
    <x v="5"/>
    <x v="5"/>
    <x v="7"/>
    <x v="7"/>
    <x v="7"/>
    <x v="7"/>
    <x v="99"/>
    <x v="99"/>
    <x v="83"/>
    <x v="50"/>
    <x v="92"/>
    <x v="98"/>
    <x v="3"/>
  </r>
  <r>
    <x v="0"/>
    <x v="5"/>
    <x v="5"/>
    <x v="9"/>
    <x v="9"/>
    <x v="9"/>
    <x v="8"/>
    <x v="54"/>
    <x v="100"/>
    <x v="84"/>
    <x v="66"/>
    <x v="84"/>
    <x v="19"/>
    <x v="3"/>
  </r>
  <r>
    <x v="0"/>
    <x v="5"/>
    <x v="5"/>
    <x v="5"/>
    <x v="5"/>
    <x v="5"/>
    <x v="9"/>
    <x v="100"/>
    <x v="101"/>
    <x v="85"/>
    <x v="97"/>
    <x v="93"/>
    <x v="99"/>
    <x v="0"/>
  </r>
  <r>
    <x v="0"/>
    <x v="5"/>
    <x v="5"/>
    <x v="10"/>
    <x v="10"/>
    <x v="10"/>
    <x v="10"/>
    <x v="101"/>
    <x v="102"/>
    <x v="86"/>
    <x v="98"/>
    <x v="93"/>
    <x v="99"/>
    <x v="3"/>
  </r>
  <r>
    <x v="0"/>
    <x v="5"/>
    <x v="5"/>
    <x v="11"/>
    <x v="11"/>
    <x v="11"/>
    <x v="11"/>
    <x v="102"/>
    <x v="103"/>
    <x v="87"/>
    <x v="99"/>
    <x v="94"/>
    <x v="100"/>
    <x v="3"/>
  </r>
  <r>
    <x v="0"/>
    <x v="5"/>
    <x v="5"/>
    <x v="14"/>
    <x v="14"/>
    <x v="14"/>
    <x v="12"/>
    <x v="103"/>
    <x v="104"/>
    <x v="86"/>
    <x v="98"/>
    <x v="95"/>
    <x v="101"/>
    <x v="3"/>
  </r>
  <r>
    <x v="0"/>
    <x v="5"/>
    <x v="5"/>
    <x v="13"/>
    <x v="13"/>
    <x v="13"/>
    <x v="13"/>
    <x v="82"/>
    <x v="105"/>
    <x v="88"/>
    <x v="100"/>
    <x v="96"/>
    <x v="102"/>
    <x v="3"/>
  </r>
  <r>
    <x v="0"/>
    <x v="5"/>
    <x v="5"/>
    <x v="15"/>
    <x v="15"/>
    <x v="15"/>
    <x v="14"/>
    <x v="104"/>
    <x v="106"/>
    <x v="48"/>
    <x v="101"/>
    <x v="97"/>
    <x v="15"/>
    <x v="3"/>
  </r>
  <r>
    <x v="0"/>
    <x v="5"/>
    <x v="5"/>
    <x v="17"/>
    <x v="17"/>
    <x v="17"/>
    <x v="15"/>
    <x v="76"/>
    <x v="107"/>
    <x v="89"/>
    <x v="102"/>
    <x v="98"/>
    <x v="103"/>
    <x v="3"/>
  </r>
  <r>
    <x v="0"/>
    <x v="5"/>
    <x v="5"/>
    <x v="12"/>
    <x v="12"/>
    <x v="12"/>
    <x v="16"/>
    <x v="84"/>
    <x v="89"/>
    <x v="90"/>
    <x v="103"/>
    <x v="49"/>
    <x v="104"/>
    <x v="3"/>
  </r>
  <r>
    <x v="0"/>
    <x v="5"/>
    <x v="5"/>
    <x v="16"/>
    <x v="16"/>
    <x v="16"/>
    <x v="17"/>
    <x v="105"/>
    <x v="108"/>
    <x v="79"/>
    <x v="88"/>
    <x v="97"/>
    <x v="15"/>
    <x v="3"/>
  </r>
  <r>
    <x v="0"/>
    <x v="5"/>
    <x v="5"/>
    <x v="21"/>
    <x v="21"/>
    <x v="21"/>
    <x v="18"/>
    <x v="87"/>
    <x v="109"/>
    <x v="91"/>
    <x v="104"/>
    <x v="96"/>
    <x v="102"/>
    <x v="1"/>
  </r>
  <r>
    <x v="0"/>
    <x v="5"/>
    <x v="5"/>
    <x v="20"/>
    <x v="20"/>
    <x v="20"/>
    <x v="19"/>
    <x v="106"/>
    <x v="75"/>
    <x v="51"/>
    <x v="105"/>
    <x v="49"/>
    <x v="104"/>
    <x v="3"/>
  </r>
  <r>
    <x v="0"/>
    <x v="6"/>
    <x v="6"/>
    <x v="0"/>
    <x v="0"/>
    <x v="0"/>
    <x v="0"/>
    <x v="107"/>
    <x v="110"/>
    <x v="92"/>
    <x v="106"/>
    <x v="93"/>
    <x v="105"/>
    <x v="3"/>
  </r>
  <r>
    <x v="0"/>
    <x v="6"/>
    <x v="6"/>
    <x v="4"/>
    <x v="4"/>
    <x v="4"/>
    <x v="1"/>
    <x v="108"/>
    <x v="111"/>
    <x v="73"/>
    <x v="107"/>
    <x v="61"/>
    <x v="106"/>
    <x v="0"/>
  </r>
  <r>
    <x v="0"/>
    <x v="6"/>
    <x v="6"/>
    <x v="3"/>
    <x v="3"/>
    <x v="3"/>
    <x v="2"/>
    <x v="109"/>
    <x v="112"/>
    <x v="57"/>
    <x v="108"/>
    <x v="11"/>
    <x v="107"/>
    <x v="3"/>
  </r>
  <r>
    <x v="0"/>
    <x v="6"/>
    <x v="6"/>
    <x v="2"/>
    <x v="2"/>
    <x v="2"/>
    <x v="3"/>
    <x v="110"/>
    <x v="96"/>
    <x v="93"/>
    <x v="109"/>
    <x v="99"/>
    <x v="108"/>
    <x v="3"/>
  </r>
  <r>
    <x v="0"/>
    <x v="6"/>
    <x v="6"/>
    <x v="1"/>
    <x v="1"/>
    <x v="1"/>
    <x v="3"/>
    <x v="110"/>
    <x v="96"/>
    <x v="94"/>
    <x v="110"/>
    <x v="67"/>
    <x v="109"/>
    <x v="3"/>
  </r>
  <r>
    <x v="0"/>
    <x v="6"/>
    <x v="6"/>
    <x v="8"/>
    <x v="8"/>
    <x v="8"/>
    <x v="5"/>
    <x v="111"/>
    <x v="113"/>
    <x v="74"/>
    <x v="111"/>
    <x v="52"/>
    <x v="110"/>
    <x v="3"/>
  </r>
  <r>
    <x v="0"/>
    <x v="6"/>
    <x v="6"/>
    <x v="6"/>
    <x v="6"/>
    <x v="6"/>
    <x v="6"/>
    <x v="112"/>
    <x v="114"/>
    <x v="57"/>
    <x v="108"/>
    <x v="76"/>
    <x v="111"/>
    <x v="3"/>
  </r>
  <r>
    <x v="0"/>
    <x v="6"/>
    <x v="6"/>
    <x v="5"/>
    <x v="5"/>
    <x v="5"/>
    <x v="7"/>
    <x v="52"/>
    <x v="115"/>
    <x v="73"/>
    <x v="107"/>
    <x v="93"/>
    <x v="105"/>
    <x v="3"/>
  </r>
  <r>
    <x v="0"/>
    <x v="6"/>
    <x v="6"/>
    <x v="9"/>
    <x v="9"/>
    <x v="9"/>
    <x v="8"/>
    <x v="113"/>
    <x v="98"/>
    <x v="34"/>
    <x v="112"/>
    <x v="79"/>
    <x v="112"/>
    <x v="0"/>
  </r>
  <r>
    <x v="0"/>
    <x v="6"/>
    <x v="6"/>
    <x v="7"/>
    <x v="7"/>
    <x v="7"/>
    <x v="9"/>
    <x v="114"/>
    <x v="116"/>
    <x v="85"/>
    <x v="113"/>
    <x v="92"/>
    <x v="113"/>
    <x v="3"/>
  </r>
  <r>
    <x v="0"/>
    <x v="6"/>
    <x v="6"/>
    <x v="10"/>
    <x v="10"/>
    <x v="10"/>
    <x v="10"/>
    <x v="115"/>
    <x v="117"/>
    <x v="95"/>
    <x v="114"/>
    <x v="60"/>
    <x v="114"/>
    <x v="3"/>
  </r>
  <r>
    <x v="0"/>
    <x v="6"/>
    <x v="6"/>
    <x v="11"/>
    <x v="11"/>
    <x v="11"/>
    <x v="11"/>
    <x v="56"/>
    <x v="118"/>
    <x v="96"/>
    <x v="115"/>
    <x v="86"/>
    <x v="73"/>
    <x v="3"/>
  </r>
  <r>
    <x v="0"/>
    <x v="6"/>
    <x v="6"/>
    <x v="13"/>
    <x v="13"/>
    <x v="13"/>
    <x v="12"/>
    <x v="74"/>
    <x v="119"/>
    <x v="97"/>
    <x v="116"/>
    <x v="82"/>
    <x v="15"/>
    <x v="3"/>
  </r>
  <r>
    <x v="0"/>
    <x v="6"/>
    <x v="6"/>
    <x v="15"/>
    <x v="15"/>
    <x v="15"/>
    <x v="13"/>
    <x v="116"/>
    <x v="120"/>
    <x v="98"/>
    <x v="117"/>
    <x v="77"/>
    <x v="115"/>
    <x v="3"/>
  </r>
  <r>
    <x v="0"/>
    <x v="6"/>
    <x v="6"/>
    <x v="14"/>
    <x v="14"/>
    <x v="14"/>
    <x v="14"/>
    <x v="85"/>
    <x v="121"/>
    <x v="36"/>
    <x v="118"/>
    <x v="100"/>
    <x v="116"/>
    <x v="3"/>
  </r>
  <r>
    <x v="0"/>
    <x v="6"/>
    <x v="6"/>
    <x v="16"/>
    <x v="16"/>
    <x v="16"/>
    <x v="15"/>
    <x v="86"/>
    <x v="122"/>
    <x v="79"/>
    <x v="88"/>
    <x v="77"/>
    <x v="115"/>
    <x v="3"/>
  </r>
  <r>
    <x v="0"/>
    <x v="6"/>
    <x v="6"/>
    <x v="12"/>
    <x v="12"/>
    <x v="12"/>
    <x v="16"/>
    <x v="117"/>
    <x v="123"/>
    <x v="46"/>
    <x v="119"/>
    <x v="73"/>
    <x v="117"/>
    <x v="3"/>
  </r>
  <r>
    <x v="0"/>
    <x v="6"/>
    <x v="6"/>
    <x v="17"/>
    <x v="17"/>
    <x v="17"/>
    <x v="17"/>
    <x v="118"/>
    <x v="74"/>
    <x v="51"/>
    <x v="120"/>
    <x v="101"/>
    <x v="118"/>
    <x v="3"/>
  </r>
  <r>
    <x v="0"/>
    <x v="6"/>
    <x v="6"/>
    <x v="22"/>
    <x v="22"/>
    <x v="22"/>
    <x v="17"/>
    <x v="118"/>
    <x v="74"/>
    <x v="35"/>
    <x v="121"/>
    <x v="75"/>
    <x v="119"/>
    <x v="3"/>
  </r>
  <r>
    <x v="0"/>
    <x v="6"/>
    <x v="6"/>
    <x v="21"/>
    <x v="21"/>
    <x v="21"/>
    <x v="19"/>
    <x v="119"/>
    <x v="124"/>
    <x v="89"/>
    <x v="102"/>
    <x v="49"/>
    <x v="120"/>
    <x v="3"/>
  </r>
  <r>
    <x v="0"/>
    <x v="7"/>
    <x v="7"/>
    <x v="1"/>
    <x v="1"/>
    <x v="1"/>
    <x v="0"/>
    <x v="120"/>
    <x v="125"/>
    <x v="99"/>
    <x v="122"/>
    <x v="82"/>
    <x v="25"/>
    <x v="3"/>
  </r>
  <r>
    <x v="0"/>
    <x v="7"/>
    <x v="7"/>
    <x v="0"/>
    <x v="0"/>
    <x v="0"/>
    <x v="0"/>
    <x v="120"/>
    <x v="125"/>
    <x v="100"/>
    <x v="123"/>
    <x v="102"/>
    <x v="98"/>
    <x v="3"/>
  </r>
  <r>
    <x v="0"/>
    <x v="7"/>
    <x v="7"/>
    <x v="2"/>
    <x v="2"/>
    <x v="2"/>
    <x v="2"/>
    <x v="121"/>
    <x v="126"/>
    <x v="101"/>
    <x v="124"/>
    <x v="103"/>
    <x v="121"/>
    <x v="10"/>
  </r>
  <r>
    <x v="0"/>
    <x v="7"/>
    <x v="7"/>
    <x v="4"/>
    <x v="4"/>
    <x v="4"/>
    <x v="3"/>
    <x v="122"/>
    <x v="127"/>
    <x v="102"/>
    <x v="125"/>
    <x v="104"/>
    <x v="122"/>
    <x v="3"/>
  </r>
  <r>
    <x v="0"/>
    <x v="7"/>
    <x v="7"/>
    <x v="3"/>
    <x v="3"/>
    <x v="3"/>
    <x v="4"/>
    <x v="123"/>
    <x v="128"/>
    <x v="34"/>
    <x v="126"/>
    <x v="105"/>
    <x v="123"/>
    <x v="3"/>
  </r>
  <r>
    <x v="0"/>
    <x v="7"/>
    <x v="7"/>
    <x v="5"/>
    <x v="5"/>
    <x v="5"/>
    <x v="5"/>
    <x v="124"/>
    <x v="129"/>
    <x v="101"/>
    <x v="124"/>
    <x v="106"/>
    <x v="124"/>
    <x v="11"/>
  </r>
  <r>
    <x v="0"/>
    <x v="7"/>
    <x v="7"/>
    <x v="7"/>
    <x v="7"/>
    <x v="7"/>
    <x v="6"/>
    <x v="125"/>
    <x v="115"/>
    <x v="27"/>
    <x v="127"/>
    <x v="107"/>
    <x v="125"/>
    <x v="3"/>
  </r>
  <r>
    <x v="0"/>
    <x v="7"/>
    <x v="7"/>
    <x v="11"/>
    <x v="11"/>
    <x v="11"/>
    <x v="7"/>
    <x v="111"/>
    <x v="130"/>
    <x v="103"/>
    <x v="128"/>
    <x v="72"/>
    <x v="126"/>
    <x v="3"/>
  </r>
  <r>
    <x v="0"/>
    <x v="7"/>
    <x v="7"/>
    <x v="6"/>
    <x v="6"/>
    <x v="6"/>
    <x v="8"/>
    <x v="112"/>
    <x v="46"/>
    <x v="104"/>
    <x v="129"/>
    <x v="108"/>
    <x v="127"/>
    <x v="3"/>
  </r>
  <r>
    <x v="0"/>
    <x v="7"/>
    <x v="7"/>
    <x v="8"/>
    <x v="8"/>
    <x v="8"/>
    <x v="9"/>
    <x v="126"/>
    <x v="131"/>
    <x v="105"/>
    <x v="130"/>
    <x v="109"/>
    <x v="128"/>
    <x v="3"/>
  </r>
  <r>
    <x v="0"/>
    <x v="7"/>
    <x v="7"/>
    <x v="10"/>
    <x v="10"/>
    <x v="10"/>
    <x v="10"/>
    <x v="99"/>
    <x v="50"/>
    <x v="106"/>
    <x v="131"/>
    <x v="84"/>
    <x v="129"/>
    <x v="11"/>
  </r>
  <r>
    <x v="0"/>
    <x v="7"/>
    <x v="7"/>
    <x v="9"/>
    <x v="9"/>
    <x v="9"/>
    <x v="11"/>
    <x v="113"/>
    <x v="33"/>
    <x v="107"/>
    <x v="132"/>
    <x v="110"/>
    <x v="130"/>
    <x v="3"/>
  </r>
  <r>
    <x v="0"/>
    <x v="7"/>
    <x v="7"/>
    <x v="12"/>
    <x v="12"/>
    <x v="12"/>
    <x v="12"/>
    <x v="127"/>
    <x v="88"/>
    <x v="75"/>
    <x v="133"/>
    <x v="55"/>
    <x v="131"/>
    <x v="0"/>
  </r>
  <r>
    <x v="0"/>
    <x v="7"/>
    <x v="7"/>
    <x v="13"/>
    <x v="13"/>
    <x v="13"/>
    <x v="13"/>
    <x v="128"/>
    <x v="132"/>
    <x v="57"/>
    <x v="134"/>
    <x v="68"/>
    <x v="1"/>
    <x v="3"/>
  </r>
  <r>
    <x v="0"/>
    <x v="7"/>
    <x v="7"/>
    <x v="16"/>
    <x v="16"/>
    <x v="16"/>
    <x v="14"/>
    <x v="129"/>
    <x v="133"/>
    <x v="89"/>
    <x v="135"/>
    <x v="57"/>
    <x v="132"/>
    <x v="3"/>
  </r>
  <r>
    <x v="0"/>
    <x v="7"/>
    <x v="7"/>
    <x v="14"/>
    <x v="14"/>
    <x v="14"/>
    <x v="15"/>
    <x v="76"/>
    <x v="36"/>
    <x v="86"/>
    <x v="136"/>
    <x v="111"/>
    <x v="133"/>
    <x v="3"/>
  </r>
  <r>
    <x v="0"/>
    <x v="7"/>
    <x v="7"/>
    <x v="25"/>
    <x v="25"/>
    <x v="25"/>
    <x v="16"/>
    <x v="116"/>
    <x v="134"/>
    <x v="66"/>
    <x v="137"/>
    <x v="97"/>
    <x v="134"/>
    <x v="3"/>
  </r>
  <r>
    <x v="0"/>
    <x v="7"/>
    <x v="7"/>
    <x v="20"/>
    <x v="20"/>
    <x v="20"/>
    <x v="17"/>
    <x v="84"/>
    <x v="135"/>
    <x v="16"/>
    <x v="138"/>
    <x v="97"/>
    <x v="134"/>
    <x v="0"/>
  </r>
  <r>
    <x v="0"/>
    <x v="7"/>
    <x v="7"/>
    <x v="19"/>
    <x v="19"/>
    <x v="19"/>
    <x v="18"/>
    <x v="130"/>
    <x v="136"/>
    <x v="108"/>
    <x v="139"/>
    <x v="96"/>
    <x v="135"/>
    <x v="3"/>
  </r>
  <r>
    <x v="0"/>
    <x v="7"/>
    <x v="7"/>
    <x v="22"/>
    <x v="22"/>
    <x v="22"/>
    <x v="19"/>
    <x v="131"/>
    <x v="137"/>
    <x v="74"/>
    <x v="101"/>
    <x v="88"/>
    <x v="136"/>
    <x v="3"/>
  </r>
  <r>
    <x v="0"/>
    <x v="8"/>
    <x v="8"/>
    <x v="1"/>
    <x v="1"/>
    <x v="1"/>
    <x v="0"/>
    <x v="47"/>
    <x v="138"/>
    <x v="109"/>
    <x v="140"/>
    <x v="110"/>
    <x v="65"/>
    <x v="3"/>
  </r>
  <r>
    <x v="0"/>
    <x v="8"/>
    <x v="8"/>
    <x v="0"/>
    <x v="0"/>
    <x v="0"/>
    <x v="1"/>
    <x v="68"/>
    <x v="139"/>
    <x v="110"/>
    <x v="141"/>
    <x v="95"/>
    <x v="137"/>
    <x v="3"/>
  </r>
  <r>
    <x v="0"/>
    <x v="8"/>
    <x v="8"/>
    <x v="2"/>
    <x v="2"/>
    <x v="2"/>
    <x v="2"/>
    <x v="132"/>
    <x v="140"/>
    <x v="93"/>
    <x v="142"/>
    <x v="97"/>
    <x v="138"/>
    <x v="3"/>
  </r>
  <r>
    <x v="0"/>
    <x v="8"/>
    <x v="8"/>
    <x v="4"/>
    <x v="4"/>
    <x v="4"/>
    <x v="3"/>
    <x v="133"/>
    <x v="141"/>
    <x v="93"/>
    <x v="142"/>
    <x v="112"/>
    <x v="22"/>
    <x v="3"/>
  </r>
  <r>
    <x v="0"/>
    <x v="8"/>
    <x v="8"/>
    <x v="5"/>
    <x v="5"/>
    <x v="5"/>
    <x v="4"/>
    <x v="83"/>
    <x v="142"/>
    <x v="68"/>
    <x v="132"/>
    <x v="95"/>
    <x v="137"/>
    <x v="0"/>
  </r>
  <r>
    <x v="0"/>
    <x v="8"/>
    <x v="8"/>
    <x v="3"/>
    <x v="3"/>
    <x v="3"/>
    <x v="5"/>
    <x v="134"/>
    <x v="98"/>
    <x v="38"/>
    <x v="143"/>
    <x v="84"/>
    <x v="139"/>
    <x v="3"/>
  </r>
  <r>
    <x v="0"/>
    <x v="8"/>
    <x v="8"/>
    <x v="9"/>
    <x v="9"/>
    <x v="9"/>
    <x v="6"/>
    <x v="135"/>
    <x v="143"/>
    <x v="49"/>
    <x v="144"/>
    <x v="113"/>
    <x v="140"/>
    <x v="3"/>
  </r>
  <r>
    <x v="0"/>
    <x v="8"/>
    <x v="8"/>
    <x v="7"/>
    <x v="7"/>
    <x v="7"/>
    <x v="7"/>
    <x v="131"/>
    <x v="144"/>
    <x v="75"/>
    <x v="145"/>
    <x v="100"/>
    <x v="125"/>
    <x v="3"/>
  </r>
  <r>
    <x v="0"/>
    <x v="8"/>
    <x v="8"/>
    <x v="12"/>
    <x v="12"/>
    <x v="12"/>
    <x v="8"/>
    <x v="88"/>
    <x v="145"/>
    <x v="111"/>
    <x v="146"/>
    <x v="87"/>
    <x v="141"/>
    <x v="3"/>
  </r>
  <r>
    <x v="0"/>
    <x v="8"/>
    <x v="8"/>
    <x v="11"/>
    <x v="11"/>
    <x v="11"/>
    <x v="9"/>
    <x v="89"/>
    <x v="146"/>
    <x v="68"/>
    <x v="132"/>
    <x v="114"/>
    <x v="142"/>
    <x v="3"/>
  </r>
  <r>
    <x v="0"/>
    <x v="8"/>
    <x v="8"/>
    <x v="6"/>
    <x v="6"/>
    <x v="6"/>
    <x v="10"/>
    <x v="136"/>
    <x v="33"/>
    <x v="90"/>
    <x v="147"/>
    <x v="115"/>
    <x v="143"/>
    <x v="3"/>
  </r>
  <r>
    <x v="0"/>
    <x v="8"/>
    <x v="8"/>
    <x v="13"/>
    <x v="13"/>
    <x v="13"/>
    <x v="11"/>
    <x v="119"/>
    <x v="147"/>
    <x v="48"/>
    <x v="148"/>
    <x v="110"/>
    <x v="65"/>
    <x v="3"/>
  </r>
  <r>
    <x v="0"/>
    <x v="8"/>
    <x v="8"/>
    <x v="8"/>
    <x v="8"/>
    <x v="8"/>
    <x v="12"/>
    <x v="93"/>
    <x v="148"/>
    <x v="98"/>
    <x v="149"/>
    <x v="115"/>
    <x v="143"/>
    <x v="3"/>
  </r>
  <r>
    <x v="0"/>
    <x v="8"/>
    <x v="8"/>
    <x v="10"/>
    <x v="10"/>
    <x v="10"/>
    <x v="13"/>
    <x v="137"/>
    <x v="149"/>
    <x v="111"/>
    <x v="146"/>
    <x v="113"/>
    <x v="140"/>
    <x v="3"/>
  </r>
  <r>
    <x v="0"/>
    <x v="8"/>
    <x v="8"/>
    <x v="17"/>
    <x v="17"/>
    <x v="17"/>
    <x v="14"/>
    <x v="138"/>
    <x v="150"/>
    <x v="54"/>
    <x v="150"/>
    <x v="116"/>
    <x v="144"/>
    <x v="3"/>
  </r>
  <r>
    <x v="0"/>
    <x v="8"/>
    <x v="8"/>
    <x v="23"/>
    <x v="23"/>
    <x v="23"/>
    <x v="15"/>
    <x v="139"/>
    <x v="151"/>
    <x v="51"/>
    <x v="151"/>
    <x v="116"/>
    <x v="144"/>
    <x v="3"/>
  </r>
  <r>
    <x v="0"/>
    <x v="8"/>
    <x v="8"/>
    <x v="15"/>
    <x v="15"/>
    <x v="15"/>
    <x v="16"/>
    <x v="140"/>
    <x v="19"/>
    <x v="108"/>
    <x v="152"/>
    <x v="117"/>
    <x v="18"/>
    <x v="3"/>
  </r>
  <r>
    <x v="0"/>
    <x v="8"/>
    <x v="8"/>
    <x v="24"/>
    <x v="24"/>
    <x v="24"/>
    <x v="17"/>
    <x v="141"/>
    <x v="152"/>
    <x v="52"/>
    <x v="153"/>
    <x v="114"/>
    <x v="142"/>
    <x v="3"/>
  </r>
  <r>
    <x v="0"/>
    <x v="8"/>
    <x v="8"/>
    <x v="22"/>
    <x v="22"/>
    <x v="22"/>
    <x v="17"/>
    <x v="141"/>
    <x v="152"/>
    <x v="91"/>
    <x v="154"/>
    <x v="117"/>
    <x v="18"/>
    <x v="3"/>
  </r>
  <r>
    <x v="0"/>
    <x v="8"/>
    <x v="8"/>
    <x v="26"/>
    <x v="26"/>
    <x v="26"/>
    <x v="17"/>
    <x v="141"/>
    <x v="152"/>
    <x v="108"/>
    <x v="152"/>
    <x v="113"/>
    <x v="140"/>
    <x v="3"/>
  </r>
  <r>
    <x v="0"/>
    <x v="9"/>
    <x v="9"/>
    <x v="0"/>
    <x v="0"/>
    <x v="0"/>
    <x v="0"/>
    <x v="142"/>
    <x v="153"/>
    <x v="112"/>
    <x v="155"/>
    <x v="67"/>
    <x v="145"/>
    <x v="3"/>
  </r>
  <r>
    <x v="0"/>
    <x v="9"/>
    <x v="9"/>
    <x v="2"/>
    <x v="2"/>
    <x v="2"/>
    <x v="1"/>
    <x v="143"/>
    <x v="154"/>
    <x v="113"/>
    <x v="156"/>
    <x v="82"/>
    <x v="146"/>
    <x v="3"/>
  </r>
  <r>
    <x v="0"/>
    <x v="9"/>
    <x v="9"/>
    <x v="1"/>
    <x v="1"/>
    <x v="1"/>
    <x v="2"/>
    <x v="133"/>
    <x v="155"/>
    <x v="114"/>
    <x v="157"/>
    <x v="86"/>
    <x v="25"/>
    <x v="3"/>
  </r>
  <r>
    <x v="0"/>
    <x v="9"/>
    <x v="9"/>
    <x v="3"/>
    <x v="3"/>
    <x v="3"/>
    <x v="3"/>
    <x v="144"/>
    <x v="156"/>
    <x v="115"/>
    <x v="158"/>
    <x v="55"/>
    <x v="147"/>
    <x v="3"/>
  </r>
  <r>
    <x v="0"/>
    <x v="9"/>
    <x v="9"/>
    <x v="5"/>
    <x v="5"/>
    <x v="5"/>
    <x v="4"/>
    <x v="75"/>
    <x v="157"/>
    <x v="113"/>
    <x v="156"/>
    <x v="118"/>
    <x v="148"/>
    <x v="0"/>
  </r>
  <r>
    <x v="0"/>
    <x v="9"/>
    <x v="9"/>
    <x v="7"/>
    <x v="7"/>
    <x v="7"/>
    <x v="5"/>
    <x v="134"/>
    <x v="158"/>
    <x v="116"/>
    <x v="159"/>
    <x v="115"/>
    <x v="149"/>
    <x v="3"/>
  </r>
  <r>
    <x v="0"/>
    <x v="9"/>
    <x v="9"/>
    <x v="11"/>
    <x v="11"/>
    <x v="11"/>
    <x v="6"/>
    <x v="106"/>
    <x v="26"/>
    <x v="62"/>
    <x v="160"/>
    <x v="119"/>
    <x v="150"/>
    <x v="3"/>
  </r>
  <r>
    <x v="0"/>
    <x v="9"/>
    <x v="9"/>
    <x v="9"/>
    <x v="9"/>
    <x v="9"/>
    <x v="7"/>
    <x v="136"/>
    <x v="159"/>
    <x v="117"/>
    <x v="161"/>
    <x v="114"/>
    <x v="151"/>
    <x v="3"/>
  </r>
  <r>
    <x v="0"/>
    <x v="9"/>
    <x v="9"/>
    <x v="8"/>
    <x v="8"/>
    <x v="8"/>
    <x v="8"/>
    <x v="119"/>
    <x v="160"/>
    <x v="108"/>
    <x v="133"/>
    <x v="81"/>
    <x v="152"/>
    <x v="3"/>
  </r>
  <r>
    <x v="0"/>
    <x v="9"/>
    <x v="9"/>
    <x v="4"/>
    <x v="4"/>
    <x v="4"/>
    <x v="9"/>
    <x v="91"/>
    <x v="161"/>
    <x v="66"/>
    <x v="162"/>
    <x v="67"/>
    <x v="145"/>
    <x v="3"/>
  </r>
  <r>
    <x v="0"/>
    <x v="9"/>
    <x v="9"/>
    <x v="6"/>
    <x v="6"/>
    <x v="6"/>
    <x v="10"/>
    <x v="145"/>
    <x v="9"/>
    <x v="66"/>
    <x v="162"/>
    <x v="118"/>
    <x v="148"/>
    <x v="3"/>
  </r>
  <r>
    <x v="0"/>
    <x v="9"/>
    <x v="9"/>
    <x v="12"/>
    <x v="12"/>
    <x v="12"/>
    <x v="11"/>
    <x v="146"/>
    <x v="50"/>
    <x v="76"/>
    <x v="148"/>
    <x v="110"/>
    <x v="153"/>
    <x v="3"/>
  </r>
  <r>
    <x v="0"/>
    <x v="9"/>
    <x v="9"/>
    <x v="14"/>
    <x v="14"/>
    <x v="14"/>
    <x v="12"/>
    <x v="147"/>
    <x v="162"/>
    <x v="90"/>
    <x v="163"/>
    <x v="120"/>
    <x v="154"/>
    <x v="3"/>
  </r>
  <r>
    <x v="0"/>
    <x v="9"/>
    <x v="9"/>
    <x v="16"/>
    <x v="16"/>
    <x v="16"/>
    <x v="13"/>
    <x v="148"/>
    <x v="163"/>
    <x v="79"/>
    <x v="88"/>
    <x v="118"/>
    <x v="148"/>
    <x v="3"/>
  </r>
  <r>
    <x v="0"/>
    <x v="9"/>
    <x v="9"/>
    <x v="13"/>
    <x v="13"/>
    <x v="13"/>
    <x v="14"/>
    <x v="149"/>
    <x v="121"/>
    <x v="108"/>
    <x v="133"/>
    <x v="86"/>
    <x v="25"/>
    <x v="3"/>
  </r>
  <r>
    <x v="0"/>
    <x v="9"/>
    <x v="9"/>
    <x v="27"/>
    <x v="27"/>
    <x v="27"/>
    <x v="14"/>
    <x v="149"/>
    <x v="121"/>
    <x v="91"/>
    <x v="164"/>
    <x v="86"/>
    <x v="25"/>
    <x v="3"/>
  </r>
  <r>
    <x v="0"/>
    <x v="9"/>
    <x v="9"/>
    <x v="15"/>
    <x v="15"/>
    <x v="15"/>
    <x v="16"/>
    <x v="138"/>
    <x v="164"/>
    <x v="108"/>
    <x v="133"/>
    <x v="111"/>
    <x v="155"/>
    <x v="3"/>
  </r>
  <r>
    <x v="0"/>
    <x v="9"/>
    <x v="9"/>
    <x v="22"/>
    <x v="22"/>
    <x v="22"/>
    <x v="17"/>
    <x v="139"/>
    <x v="165"/>
    <x v="91"/>
    <x v="164"/>
    <x v="111"/>
    <x v="155"/>
    <x v="3"/>
  </r>
  <r>
    <x v="0"/>
    <x v="9"/>
    <x v="9"/>
    <x v="25"/>
    <x v="25"/>
    <x v="25"/>
    <x v="18"/>
    <x v="141"/>
    <x v="166"/>
    <x v="51"/>
    <x v="165"/>
    <x v="86"/>
    <x v="25"/>
    <x v="3"/>
  </r>
  <r>
    <x v="0"/>
    <x v="9"/>
    <x v="9"/>
    <x v="26"/>
    <x v="26"/>
    <x v="26"/>
    <x v="19"/>
    <x v="150"/>
    <x v="38"/>
    <x v="52"/>
    <x v="166"/>
    <x v="117"/>
    <x v="156"/>
    <x v="3"/>
  </r>
  <r>
    <x v="0"/>
    <x v="10"/>
    <x v="10"/>
    <x v="4"/>
    <x v="4"/>
    <x v="4"/>
    <x v="0"/>
    <x v="151"/>
    <x v="167"/>
    <x v="118"/>
    <x v="167"/>
    <x v="118"/>
    <x v="63"/>
    <x v="3"/>
  </r>
  <r>
    <x v="0"/>
    <x v="10"/>
    <x v="10"/>
    <x v="1"/>
    <x v="1"/>
    <x v="1"/>
    <x v="1"/>
    <x v="53"/>
    <x v="168"/>
    <x v="119"/>
    <x v="168"/>
    <x v="117"/>
    <x v="76"/>
    <x v="3"/>
  </r>
  <r>
    <x v="0"/>
    <x v="10"/>
    <x v="10"/>
    <x v="0"/>
    <x v="0"/>
    <x v="0"/>
    <x v="2"/>
    <x v="57"/>
    <x v="169"/>
    <x v="120"/>
    <x v="169"/>
    <x v="83"/>
    <x v="157"/>
    <x v="3"/>
  </r>
  <r>
    <x v="0"/>
    <x v="10"/>
    <x v="10"/>
    <x v="5"/>
    <x v="5"/>
    <x v="5"/>
    <x v="3"/>
    <x v="83"/>
    <x v="170"/>
    <x v="62"/>
    <x v="2"/>
    <x v="67"/>
    <x v="158"/>
    <x v="0"/>
  </r>
  <r>
    <x v="0"/>
    <x v="10"/>
    <x v="10"/>
    <x v="2"/>
    <x v="2"/>
    <x v="2"/>
    <x v="4"/>
    <x v="86"/>
    <x v="171"/>
    <x v="88"/>
    <x v="170"/>
    <x v="73"/>
    <x v="159"/>
    <x v="3"/>
  </r>
  <r>
    <x v="0"/>
    <x v="10"/>
    <x v="10"/>
    <x v="7"/>
    <x v="7"/>
    <x v="7"/>
    <x v="5"/>
    <x v="119"/>
    <x v="65"/>
    <x v="117"/>
    <x v="22"/>
    <x v="111"/>
    <x v="160"/>
    <x v="3"/>
  </r>
  <r>
    <x v="0"/>
    <x v="10"/>
    <x v="10"/>
    <x v="3"/>
    <x v="3"/>
    <x v="3"/>
    <x v="6"/>
    <x v="91"/>
    <x v="172"/>
    <x v="16"/>
    <x v="119"/>
    <x v="75"/>
    <x v="161"/>
    <x v="3"/>
  </r>
  <r>
    <x v="0"/>
    <x v="10"/>
    <x v="10"/>
    <x v="6"/>
    <x v="6"/>
    <x v="6"/>
    <x v="7"/>
    <x v="93"/>
    <x v="173"/>
    <x v="121"/>
    <x v="171"/>
    <x v="114"/>
    <x v="162"/>
    <x v="3"/>
  </r>
  <r>
    <x v="0"/>
    <x v="10"/>
    <x v="10"/>
    <x v="11"/>
    <x v="11"/>
    <x v="11"/>
    <x v="8"/>
    <x v="152"/>
    <x v="174"/>
    <x v="97"/>
    <x v="172"/>
    <x v="120"/>
    <x v="74"/>
    <x v="3"/>
  </r>
  <r>
    <x v="0"/>
    <x v="10"/>
    <x v="10"/>
    <x v="8"/>
    <x v="8"/>
    <x v="8"/>
    <x v="9"/>
    <x v="138"/>
    <x v="87"/>
    <x v="54"/>
    <x v="173"/>
    <x v="116"/>
    <x v="163"/>
    <x v="3"/>
  </r>
  <r>
    <x v="0"/>
    <x v="10"/>
    <x v="10"/>
    <x v="9"/>
    <x v="9"/>
    <x v="9"/>
    <x v="10"/>
    <x v="153"/>
    <x v="175"/>
    <x v="35"/>
    <x v="174"/>
    <x v="121"/>
    <x v="164"/>
    <x v="3"/>
  </r>
  <r>
    <x v="0"/>
    <x v="10"/>
    <x v="10"/>
    <x v="14"/>
    <x v="14"/>
    <x v="14"/>
    <x v="10"/>
    <x v="153"/>
    <x v="175"/>
    <x v="35"/>
    <x v="174"/>
    <x v="120"/>
    <x v="74"/>
    <x v="3"/>
  </r>
  <r>
    <x v="0"/>
    <x v="10"/>
    <x v="10"/>
    <x v="10"/>
    <x v="10"/>
    <x v="10"/>
    <x v="12"/>
    <x v="141"/>
    <x v="176"/>
    <x v="98"/>
    <x v="95"/>
    <x v="120"/>
    <x v="74"/>
    <x v="3"/>
  </r>
  <r>
    <x v="0"/>
    <x v="10"/>
    <x v="10"/>
    <x v="13"/>
    <x v="13"/>
    <x v="13"/>
    <x v="13"/>
    <x v="150"/>
    <x v="177"/>
    <x v="52"/>
    <x v="175"/>
    <x v="117"/>
    <x v="76"/>
    <x v="3"/>
  </r>
  <r>
    <x v="0"/>
    <x v="10"/>
    <x v="10"/>
    <x v="17"/>
    <x v="17"/>
    <x v="17"/>
    <x v="14"/>
    <x v="154"/>
    <x v="74"/>
    <x v="51"/>
    <x v="176"/>
    <x v="114"/>
    <x v="162"/>
    <x v="3"/>
  </r>
  <r>
    <x v="0"/>
    <x v="10"/>
    <x v="10"/>
    <x v="16"/>
    <x v="16"/>
    <x v="16"/>
    <x v="14"/>
    <x v="154"/>
    <x v="74"/>
    <x v="89"/>
    <x v="52"/>
    <x v="111"/>
    <x v="160"/>
    <x v="3"/>
  </r>
  <r>
    <x v="0"/>
    <x v="10"/>
    <x v="10"/>
    <x v="18"/>
    <x v="18"/>
    <x v="18"/>
    <x v="16"/>
    <x v="155"/>
    <x v="178"/>
    <x v="37"/>
    <x v="177"/>
    <x v="113"/>
    <x v="165"/>
    <x v="3"/>
  </r>
  <r>
    <x v="0"/>
    <x v="10"/>
    <x v="10"/>
    <x v="25"/>
    <x v="25"/>
    <x v="25"/>
    <x v="16"/>
    <x v="155"/>
    <x v="178"/>
    <x v="51"/>
    <x v="176"/>
    <x v="117"/>
    <x v="76"/>
    <x v="3"/>
  </r>
  <r>
    <x v="0"/>
    <x v="10"/>
    <x v="10"/>
    <x v="19"/>
    <x v="19"/>
    <x v="19"/>
    <x v="18"/>
    <x v="156"/>
    <x v="152"/>
    <x v="89"/>
    <x v="52"/>
    <x v="114"/>
    <x v="162"/>
    <x v="3"/>
  </r>
  <r>
    <x v="0"/>
    <x v="10"/>
    <x v="10"/>
    <x v="22"/>
    <x v="22"/>
    <x v="22"/>
    <x v="18"/>
    <x v="156"/>
    <x v="152"/>
    <x v="52"/>
    <x v="175"/>
    <x v="120"/>
    <x v="74"/>
    <x v="3"/>
  </r>
  <r>
    <x v="0"/>
    <x v="11"/>
    <x v="11"/>
    <x v="0"/>
    <x v="0"/>
    <x v="0"/>
    <x v="0"/>
    <x v="77"/>
    <x v="179"/>
    <x v="28"/>
    <x v="178"/>
    <x v="72"/>
    <x v="166"/>
    <x v="3"/>
  </r>
  <r>
    <x v="0"/>
    <x v="11"/>
    <x v="11"/>
    <x v="2"/>
    <x v="2"/>
    <x v="2"/>
    <x v="1"/>
    <x v="110"/>
    <x v="180"/>
    <x v="106"/>
    <x v="179"/>
    <x v="122"/>
    <x v="167"/>
    <x v="3"/>
  </r>
  <r>
    <x v="0"/>
    <x v="11"/>
    <x v="11"/>
    <x v="1"/>
    <x v="1"/>
    <x v="1"/>
    <x v="2"/>
    <x v="71"/>
    <x v="181"/>
    <x v="59"/>
    <x v="180"/>
    <x v="115"/>
    <x v="168"/>
    <x v="3"/>
  </r>
  <r>
    <x v="0"/>
    <x v="11"/>
    <x v="11"/>
    <x v="3"/>
    <x v="3"/>
    <x v="3"/>
    <x v="3"/>
    <x v="80"/>
    <x v="182"/>
    <x v="57"/>
    <x v="181"/>
    <x v="104"/>
    <x v="169"/>
    <x v="3"/>
  </r>
  <r>
    <x v="0"/>
    <x v="11"/>
    <x v="11"/>
    <x v="5"/>
    <x v="5"/>
    <x v="5"/>
    <x v="4"/>
    <x v="56"/>
    <x v="183"/>
    <x v="73"/>
    <x v="182"/>
    <x v="115"/>
    <x v="168"/>
    <x v="3"/>
  </r>
  <r>
    <x v="0"/>
    <x v="11"/>
    <x v="11"/>
    <x v="7"/>
    <x v="7"/>
    <x v="7"/>
    <x v="5"/>
    <x v="102"/>
    <x v="184"/>
    <x v="67"/>
    <x v="183"/>
    <x v="85"/>
    <x v="170"/>
    <x v="3"/>
  </r>
  <r>
    <x v="0"/>
    <x v="11"/>
    <x v="11"/>
    <x v="4"/>
    <x v="4"/>
    <x v="4"/>
    <x v="6"/>
    <x v="83"/>
    <x v="185"/>
    <x v="74"/>
    <x v="184"/>
    <x v="73"/>
    <x v="171"/>
    <x v="3"/>
  </r>
  <r>
    <x v="0"/>
    <x v="11"/>
    <x v="11"/>
    <x v="6"/>
    <x v="6"/>
    <x v="6"/>
    <x v="7"/>
    <x v="117"/>
    <x v="186"/>
    <x v="74"/>
    <x v="184"/>
    <x v="67"/>
    <x v="143"/>
    <x v="3"/>
  </r>
  <r>
    <x v="0"/>
    <x v="11"/>
    <x v="11"/>
    <x v="12"/>
    <x v="12"/>
    <x v="12"/>
    <x v="8"/>
    <x v="88"/>
    <x v="50"/>
    <x v="81"/>
    <x v="185"/>
    <x v="88"/>
    <x v="172"/>
    <x v="3"/>
  </r>
  <r>
    <x v="0"/>
    <x v="11"/>
    <x v="11"/>
    <x v="8"/>
    <x v="8"/>
    <x v="8"/>
    <x v="9"/>
    <x v="89"/>
    <x v="147"/>
    <x v="98"/>
    <x v="13"/>
    <x v="112"/>
    <x v="79"/>
    <x v="3"/>
  </r>
  <r>
    <x v="0"/>
    <x v="11"/>
    <x v="11"/>
    <x v="14"/>
    <x v="14"/>
    <x v="14"/>
    <x v="9"/>
    <x v="89"/>
    <x v="147"/>
    <x v="116"/>
    <x v="186"/>
    <x v="83"/>
    <x v="173"/>
    <x v="3"/>
  </r>
  <r>
    <x v="0"/>
    <x v="11"/>
    <x v="11"/>
    <x v="10"/>
    <x v="10"/>
    <x v="10"/>
    <x v="11"/>
    <x v="136"/>
    <x v="187"/>
    <x v="81"/>
    <x v="185"/>
    <x v="111"/>
    <x v="28"/>
    <x v="3"/>
  </r>
  <r>
    <x v="0"/>
    <x v="11"/>
    <x v="11"/>
    <x v="19"/>
    <x v="19"/>
    <x v="19"/>
    <x v="12"/>
    <x v="157"/>
    <x v="148"/>
    <x v="76"/>
    <x v="187"/>
    <x v="67"/>
    <x v="143"/>
    <x v="3"/>
  </r>
  <r>
    <x v="0"/>
    <x v="11"/>
    <x v="11"/>
    <x v="13"/>
    <x v="13"/>
    <x v="13"/>
    <x v="13"/>
    <x v="145"/>
    <x v="107"/>
    <x v="91"/>
    <x v="89"/>
    <x v="95"/>
    <x v="174"/>
    <x v="3"/>
  </r>
  <r>
    <x v="0"/>
    <x v="11"/>
    <x v="11"/>
    <x v="9"/>
    <x v="9"/>
    <x v="9"/>
    <x v="13"/>
    <x v="145"/>
    <x v="107"/>
    <x v="90"/>
    <x v="111"/>
    <x v="83"/>
    <x v="173"/>
    <x v="3"/>
  </r>
  <r>
    <x v="0"/>
    <x v="11"/>
    <x v="11"/>
    <x v="11"/>
    <x v="11"/>
    <x v="11"/>
    <x v="13"/>
    <x v="145"/>
    <x v="107"/>
    <x v="74"/>
    <x v="184"/>
    <x v="120"/>
    <x v="175"/>
    <x v="3"/>
  </r>
  <r>
    <x v="0"/>
    <x v="11"/>
    <x v="11"/>
    <x v="18"/>
    <x v="18"/>
    <x v="18"/>
    <x v="16"/>
    <x v="158"/>
    <x v="188"/>
    <x v="98"/>
    <x v="13"/>
    <x v="100"/>
    <x v="176"/>
    <x v="0"/>
  </r>
  <r>
    <x v="0"/>
    <x v="11"/>
    <x v="11"/>
    <x v="27"/>
    <x v="27"/>
    <x v="27"/>
    <x v="17"/>
    <x v="147"/>
    <x v="189"/>
    <x v="16"/>
    <x v="188"/>
    <x v="111"/>
    <x v="28"/>
    <x v="3"/>
  </r>
  <r>
    <x v="0"/>
    <x v="11"/>
    <x v="11"/>
    <x v="16"/>
    <x v="16"/>
    <x v="16"/>
    <x v="18"/>
    <x v="137"/>
    <x v="53"/>
    <x v="79"/>
    <x v="88"/>
    <x v="95"/>
    <x v="174"/>
    <x v="3"/>
  </r>
  <r>
    <x v="0"/>
    <x v="11"/>
    <x v="11"/>
    <x v="25"/>
    <x v="25"/>
    <x v="25"/>
    <x v="19"/>
    <x v="140"/>
    <x v="190"/>
    <x v="54"/>
    <x v="189"/>
    <x v="86"/>
    <x v="177"/>
    <x v="3"/>
  </r>
  <r>
    <x v="0"/>
    <x v="11"/>
    <x v="11"/>
    <x v="23"/>
    <x v="23"/>
    <x v="23"/>
    <x v="19"/>
    <x v="140"/>
    <x v="190"/>
    <x v="91"/>
    <x v="89"/>
    <x v="114"/>
    <x v="178"/>
    <x v="3"/>
  </r>
  <r>
    <x v="0"/>
    <x v="12"/>
    <x v="12"/>
    <x v="1"/>
    <x v="1"/>
    <x v="1"/>
    <x v="0"/>
    <x v="159"/>
    <x v="191"/>
    <x v="122"/>
    <x v="190"/>
    <x v="118"/>
    <x v="127"/>
    <x v="3"/>
  </r>
  <r>
    <x v="0"/>
    <x v="12"/>
    <x v="12"/>
    <x v="0"/>
    <x v="0"/>
    <x v="0"/>
    <x v="1"/>
    <x v="160"/>
    <x v="192"/>
    <x v="69"/>
    <x v="191"/>
    <x v="88"/>
    <x v="149"/>
    <x v="3"/>
  </r>
  <r>
    <x v="0"/>
    <x v="12"/>
    <x v="12"/>
    <x v="2"/>
    <x v="2"/>
    <x v="2"/>
    <x v="2"/>
    <x v="80"/>
    <x v="193"/>
    <x v="72"/>
    <x v="192"/>
    <x v="77"/>
    <x v="179"/>
    <x v="3"/>
  </r>
  <r>
    <x v="0"/>
    <x v="12"/>
    <x v="12"/>
    <x v="3"/>
    <x v="3"/>
    <x v="3"/>
    <x v="3"/>
    <x v="114"/>
    <x v="194"/>
    <x v="97"/>
    <x v="193"/>
    <x v="123"/>
    <x v="180"/>
    <x v="3"/>
  </r>
  <r>
    <x v="0"/>
    <x v="12"/>
    <x v="12"/>
    <x v="5"/>
    <x v="5"/>
    <x v="5"/>
    <x v="4"/>
    <x v="73"/>
    <x v="4"/>
    <x v="123"/>
    <x v="194"/>
    <x v="95"/>
    <x v="181"/>
    <x v="3"/>
  </r>
  <r>
    <x v="0"/>
    <x v="12"/>
    <x v="12"/>
    <x v="7"/>
    <x v="7"/>
    <x v="7"/>
    <x v="5"/>
    <x v="161"/>
    <x v="195"/>
    <x v="105"/>
    <x v="195"/>
    <x v="115"/>
    <x v="12"/>
    <x v="3"/>
  </r>
  <r>
    <x v="0"/>
    <x v="12"/>
    <x v="12"/>
    <x v="12"/>
    <x v="12"/>
    <x v="12"/>
    <x v="6"/>
    <x v="135"/>
    <x v="28"/>
    <x v="74"/>
    <x v="196"/>
    <x v="118"/>
    <x v="127"/>
    <x v="3"/>
  </r>
  <r>
    <x v="0"/>
    <x v="12"/>
    <x v="12"/>
    <x v="14"/>
    <x v="14"/>
    <x v="14"/>
    <x v="7"/>
    <x v="162"/>
    <x v="8"/>
    <x v="36"/>
    <x v="197"/>
    <x v="113"/>
    <x v="182"/>
    <x v="3"/>
  </r>
  <r>
    <x v="0"/>
    <x v="12"/>
    <x v="12"/>
    <x v="6"/>
    <x v="6"/>
    <x v="6"/>
    <x v="8"/>
    <x v="163"/>
    <x v="196"/>
    <x v="53"/>
    <x v="3"/>
    <x v="124"/>
    <x v="183"/>
    <x v="3"/>
  </r>
  <r>
    <x v="0"/>
    <x v="12"/>
    <x v="12"/>
    <x v="11"/>
    <x v="11"/>
    <x v="11"/>
    <x v="8"/>
    <x v="163"/>
    <x v="196"/>
    <x v="124"/>
    <x v="198"/>
    <x v="121"/>
    <x v="184"/>
    <x v="3"/>
  </r>
  <r>
    <x v="0"/>
    <x v="12"/>
    <x v="12"/>
    <x v="8"/>
    <x v="8"/>
    <x v="8"/>
    <x v="10"/>
    <x v="119"/>
    <x v="197"/>
    <x v="98"/>
    <x v="199"/>
    <x v="79"/>
    <x v="185"/>
    <x v="3"/>
  </r>
  <r>
    <x v="0"/>
    <x v="12"/>
    <x v="12"/>
    <x v="4"/>
    <x v="4"/>
    <x v="4"/>
    <x v="11"/>
    <x v="146"/>
    <x v="198"/>
    <x v="35"/>
    <x v="200"/>
    <x v="116"/>
    <x v="186"/>
    <x v="3"/>
  </r>
  <r>
    <x v="0"/>
    <x v="12"/>
    <x v="12"/>
    <x v="10"/>
    <x v="10"/>
    <x v="10"/>
    <x v="11"/>
    <x v="146"/>
    <x v="198"/>
    <x v="121"/>
    <x v="201"/>
    <x v="111"/>
    <x v="176"/>
    <x v="3"/>
  </r>
  <r>
    <x v="0"/>
    <x v="12"/>
    <x v="12"/>
    <x v="16"/>
    <x v="16"/>
    <x v="16"/>
    <x v="11"/>
    <x v="146"/>
    <x v="198"/>
    <x v="79"/>
    <x v="88"/>
    <x v="88"/>
    <x v="149"/>
    <x v="3"/>
  </r>
  <r>
    <x v="0"/>
    <x v="12"/>
    <x v="12"/>
    <x v="9"/>
    <x v="9"/>
    <x v="9"/>
    <x v="14"/>
    <x v="164"/>
    <x v="175"/>
    <x v="76"/>
    <x v="175"/>
    <x v="119"/>
    <x v="187"/>
    <x v="3"/>
  </r>
  <r>
    <x v="0"/>
    <x v="12"/>
    <x v="12"/>
    <x v="18"/>
    <x v="18"/>
    <x v="18"/>
    <x v="15"/>
    <x v="152"/>
    <x v="123"/>
    <x v="35"/>
    <x v="200"/>
    <x v="86"/>
    <x v="188"/>
    <x v="3"/>
  </r>
  <r>
    <x v="0"/>
    <x v="12"/>
    <x v="12"/>
    <x v="25"/>
    <x v="25"/>
    <x v="25"/>
    <x v="16"/>
    <x v="138"/>
    <x v="55"/>
    <x v="37"/>
    <x v="137"/>
    <x v="100"/>
    <x v="58"/>
    <x v="3"/>
  </r>
  <r>
    <x v="0"/>
    <x v="12"/>
    <x v="12"/>
    <x v="13"/>
    <x v="13"/>
    <x v="13"/>
    <x v="17"/>
    <x v="139"/>
    <x v="17"/>
    <x v="52"/>
    <x v="202"/>
    <x v="94"/>
    <x v="36"/>
    <x v="3"/>
  </r>
  <r>
    <x v="0"/>
    <x v="12"/>
    <x v="12"/>
    <x v="28"/>
    <x v="28"/>
    <x v="28"/>
    <x v="18"/>
    <x v="153"/>
    <x v="199"/>
    <x v="37"/>
    <x v="137"/>
    <x v="86"/>
    <x v="188"/>
    <x v="3"/>
  </r>
  <r>
    <x v="0"/>
    <x v="12"/>
    <x v="12"/>
    <x v="20"/>
    <x v="20"/>
    <x v="20"/>
    <x v="19"/>
    <x v="140"/>
    <x v="57"/>
    <x v="51"/>
    <x v="203"/>
    <x v="124"/>
    <x v="183"/>
    <x v="3"/>
  </r>
  <r>
    <x v="0"/>
    <x v="13"/>
    <x v="13"/>
    <x v="1"/>
    <x v="1"/>
    <x v="1"/>
    <x v="0"/>
    <x v="98"/>
    <x v="200"/>
    <x v="125"/>
    <x v="204"/>
    <x v="118"/>
    <x v="189"/>
    <x v="3"/>
  </r>
  <r>
    <x v="0"/>
    <x v="13"/>
    <x v="13"/>
    <x v="0"/>
    <x v="0"/>
    <x v="0"/>
    <x v="1"/>
    <x v="165"/>
    <x v="201"/>
    <x v="126"/>
    <x v="205"/>
    <x v="115"/>
    <x v="190"/>
    <x v="3"/>
  </r>
  <r>
    <x v="0"/>
    <x v="13"/>
    <x v="13"/>
    <x v="3"/>
    <x v="3"/>
    <x v="3"/>
    <x v="2"/>
    <x v="51"/>
    <x v="202"/>
    <x v="74"/>
    <x v="206"/>
    <x v="104"/>
    <x v="191"/>
    <x v="3"/>
  </r>
  <r>
    <x v="0"/>
    <x v="13"/>
    <x v="13"/>
    <x v="5"/>
    <x v="5"/>
    <x v="5"/>
    <x v="3"/>
    <x v="57"/>
    <x v="203"/>
    <x v="127"/>
    <x v="207"/>
    <x v="79"/>
    <x v="192"/>
    <x v="0"/>
  </r>
  <r>
    <x v="0"/>
    <x v="13"/>
    <x v="13"/>
    <x v="2"/>
    <x v="2"/>
    <x v="2"/>
    <x v="4"/>
    <x v="166"/>
    <x v="204"/>
    <x v="116"/>
    <x v="208"/>
    <x v="77"/>
    <x v="193"/>
    <x v="3"/>
  </r>
  <r>
    <x v="0"/>
    <x v="13"/>
    <x v="13"/>
    <x v="6"/>
    <x v="6"/>
    <x v="6"/>
    <x v="5"/>
    <x v="104"/>
    <x v="97"/>
    <x v="57"/>
    <x v="209"/>
    <x v="112"/>
    <x v="194"/>
    <x v="3"/>
  </r>
  <r>
    <x v="0"/>
    <x v="13"/>
    <x v="13"/>
    <x v="7"/>
    <x v="7"/>
    <x v="7"/>
    <x v="6"/>
    <x v="86"/>
    <x v="205"/>
    <x v="53"/>
    <x v="210"/>
    <x v="95"/>
    <x v="195"/>
    <x v="3"/>
  </r>
  <r>
    <x v="0"/>
    <x v="13"/>
    <x v="13"/>
    <x v="9"/>
    <x v="9"/>
    <x v="9"/>
    <x v="7"/>
    <x v="91"/>
    <x v="206"/>
    <x v="88"/>
    <x v="211"/>
    <x v="113"/>
    <x v="196"/>
    <x v="0"/>
  </r>
  <r>
    <x v="0"/>
    <x v="13"/>
    <x v="13"/>
    <x v="16"/>
    <x v="16"/>
    <x v="16"/>
    <x v="7"/>
    <x v="91"/>
    <x v="206"/>
    <x v="79"/>
    <x v="88"/>
    <x v="49"/>
    <x v="197"/>
    <x v="3"/>
  </r>
  <r>
    <x v="0"/>
    <x v="13"/>
    <x v="13"/>
    <x v="8"/>
    <x v="8"/>
    <x v="8"/>
    <x v="9"/>
    <x v="92"/>
    <x v="207"/>
    <x v="98"/>
    <x v="103"/>
    <x v="67"/>
    <x v="198"/>
    <x v="3"/>
  </r>
  <r>
    <x v="0"/>
    <x v="13"/>
    <x v="13"/>
    <x v="4"/>
    <x v="4"/>
    <x v="4"/>
    <x v="10"/>
    <x v="93"/>
    <x v="208"/>
    <x v="98"/>
    <x v="103"/>
    <x v="116"/>
    <x v="199"/>
    <x v="3"/>
  </r>
  <r>
    <x v="0"/>
    <x v="13"/>
    <x v="13"/>
    <x v="11"/>
    <x v="11"/>
    <x v="11"/>
    <x v="10"/>
    <x v="93"/>
    <x v="208"/>
    <x v="81"/>
    <x v="212"/>
    <x v="121"/>
    <x v="200"/>
    <x v="3"/>
  </r>
  <r>
    <x v="0"/>
    <x v="13"/>
    <x v="13"/>
    <x v="14"/>
    <x v="14"/>
    <x v="14"/>
    <x v="12"/>
    <x v="158"/>
    <x v="209"/>
    <x v="46"/>
    <x v="213"/>
    <x v="113"/>
    <x v="196"/>
    <x v="3"/>
  </r>
  <r>
    <x v="0"/>
    <x v="13"/>
    <x v="13"/>
    <x v="13"/>
    <x v="13"/>
    <x v="13"/>
    <x v="13"/>
    <x v="152"/>
    <x v="106"/>
    <x v="35"/>
    <x v="214"/>
    <x v="86"/>
    <x v="85"/>
    <x v="3"/>
  </r>
  <r>
    <x v="0"/>
    <x v="13"/>
    <x v="13"/>
    <x v="18"/>
    <x v="18"/>
    <x v="18"/>
    <x v="14"/>
    <x v="137"/>
    <x v="210"/>
    <x v="52"/>
    <x v="215"/>
    <x v="115"/>
    <x v="190"/>
    <x v="3"/>
  </r>
  <r>
    <x v="0"/>
    <x v="13"/>
    <x v="13"/>
    <x v="10"/>
    <x v="10"/>
    <x v="10"/>
    <x v="15"/>
    <x v="139"/>
    <x v="211"/>
    <x v="35"/>
    <x v="214"/>
    <x v="119"/>
    <x v="73"/>
    <x v="3"/>
  </r>
  <r>
    <x v="0"/>
    <x v="13"/>
    <x v="13"/>
    <x v="17"/>
    <x v="17"/>
    <x v="17"/>
    <x v="16"/>
    <x v="153"/>
    <x v="212"/>
    <x v="54"/>
    <x v="216"/>
    <x v="124"/>
    <x v="35"/>
    <x v="3"/>
  </r>
  <r>
    <x v="0"/>
    <x v="13"/>
    <x v="13"/>
    <x v="12"/>
    <x v="12"/>
    <x v="12"/>
    <x v="17"/>
    <x v="140"/>
    <x v="213"/>
    <x v="52"/>
    <x v="215"/>
    <x v="94"/>
    <x v="165"/>
    <x v="3"/>
  </r>
  <r>
    <x v="0"/>
    <x v="13"/>
    <x v="13"/>
    <x v="28"/>
    <x v="28"/>
    <x v="28"/>
    <x v="18"/>
    <x v="150"/>
    <x v="214"/>
    <x v="128"/>
    <x v="217"/>
    <x v="86"/>
    <x v="85"/>
    <x v="3"/>
  </r>
  <r>
    <x v="0"/>
    <x v="13"/>
    <x v="13"/>
    <x v="15"/>
    <x v="15"/>
    <x v="15"/>
    <x v="18"/>
    <x v="150"/>
    <x v="214"/>
    <x v="37"/>
    <x v="218"/>
    <x v="114"/>
    <x v="201"/>
    <x v="3"/>
  </r>
  <r>
    <x v="0"/>
    <x v="14"/>
    <x v="14"/>
    <x v="0"/>
    <x v="0"/>
    <x v="0"/>
    <x v="0"/>
    <x v="167"/>
    <x v="215"/>
    <x v="129"/>
    <x v="219"/>
    <x v="86"/>
    <x v="202"/>
    <x v="3"/>
  </r>
  <r>
    <x v="0"/>
    <x v="14"/>
    <x v="14"/>
    <x v="3"/>
    <x v="3"/>
    <x v="3"/>
    <x v="1"/>
    <x v="144"/>
    <x v="216"/>
    <x v="115"/>
    <x v="220"/>
    <x v="55"/>
    <x v="203"/>
    <x v="3"/>
  </r>
  <r>
    <x v="0"/>
    <x v="14"/>
    <x v="14"/>
    <x v="1"/>
    <x v="1"/>
    <x v="1"/>
    <x v="2"/>
    <x v="168"/>
    <x v="217"/>
    <x v="123"/>
    <x v="221"/>
    <x v="119"/>
    <x v="173"/>
    <x v="3"/>
  </r>
  <r>
    <x v="0"/>
    <x v="14"/>
    <x v="14"/>
    <x v="5"/>
    <x v="5"/>
    <x v="5"/>
    <x v="3"/>
    <x v="84"/>
    <x v="78"/>
    <x v="49"/>
    <x v="222"/>
    <x v="110"/>
    <x v="204"/>
    <x v="3"/>
  </r>
  <r>
    <x v="0"/>
    <x v="14"/>
    <x v="14"/>
    <x v="2"/>
    <x v="2"/>
    <x v="2"/>
    <x v="4"/>
    <x v="85"/>
    <x v="218"/>
    <x v="38"/>
    <x v="223"/>
    <x v="49"/>
    <x v="205"/>
    <x v="3"/>
  </r>
  <r>
    <x v="0"/>
    <x v="14"/>
    <x v="14"/>
    <x v="6"/>
    <x v="6"/>
    <x v="6"/>
    <x v="5"/>
    <x v="130"/>
    <x v="44"/>
    <x v="97"/>
    <x v="50"/>
    <x v="75"/>
    <x v="152"/>
    <x v="3"/>
  </r>
  <r>
    <x v="0"/>
    <x v="14"/>
    <x v="14"/>
    <x v="8"/>
    <x v="8"/>
    <x v="8"/>
    <x v="6"/>
    <x v="106"/>
    <x v="219"/>
    <x v="35"/>
    <x v="224"/>
    <x v="79"/>
    <x v="206"/>
    <x v="3"/>
  </r>
  <r>
    <x v="0"/>
    <x v="14"/>
    <x v="14"/>
    <x v="11"/>
    <x v="11"/>
    <x v="11"/>
    <x v="7"/>
    <x v="146"/>
    <x v="68"/>
    <x v="81"/>
    <x v="225"/>
    <x v="119"/>
    <x v="173"/>
    <x v="3"/>
  </r>
  <r>
    <x v="0"/>
    <x v="14"/>
    <x v="14"/>
    <x v="7"/>
    <x v="7"/>
    <x v="7"/>
    <x v="8"/>
    <x v="164"/>
    <x v="69"/>
    <x v="115"/>
    <x v="220"/>
    <x v="124"/>
    <x v="98"/>
    <x v="3"/>
  </r>
  <r>
    <x v="0"/>
    <x v="14"/>
    <x v="14"/>
    <x v="9"/>
    <x v="9"/>
    <x v="9"/>
    <x v="9"/>
    <x v="152"/>
    <x v="220"/>
    <x v="38"/>
    <x v="223"/>
    <x v="117"/>
    <x v="165"/>
    <x v="3"/>
  </r>
  <r>
    <x v="0"/>
    <x v="14"/>
    <x v="14"/>
    <x v="4"/>
    <x v="4"/>
    <x v="4"/>
    <x v="10"/>
    <x v="147"/>
    <x v="51"/>
    <x v="91"/>
    <x v="226"/>
    <x v="115"/>
    <x v="207"/>
    <x v="3"/>
  </r>
  <r>
    <x v="0"/>
    <x v="14"/>
    <x v="14"/>
    <x v="10"/>
    <x v="10"/>
    <x v="10"/>
    <x v="10"/>
    <x v="147"/>
    <x v="51"/>
    <x v="111"/>
    <x v="227"/>
    <x v="83"/>
    <x v="208"/>
    <x v="3"/>
  </r>
  <r>
    <x v="0"/>
    <x v="14"/>
    <x v="14"/>
    <x v="12"/>
    <x v="12"/>
    <x v="12"/>
    <x v="12"/>
    <x v="148"/>
    <x v="221"/>
    <x v="52"/>
    <x v="228"/>
    <x v="116"/>
    <x v="209"/>
    <x v="3"/>
  </r>
  <r>
    <x v="0"/>
    <x v="14"/>
    <x v="14"/>
    <x v="16"/>
    <x v="16"/>
    <x v="16"/>
    <x v="12"/>
    <x v="148"/>
    <x v="221"/>
    <x v="79"/>
    <x v="88"/>
    <x v="67"/>
    <x v="122"/>
    <x v="3"/>
  </r>
  <r>
    <x v="0"/>
    <x v="14"/>
    <x v="14"/>
    <x v="18"/>
    <x v="18"/>
    <x v="18"/>
    <x v="14"/>
    <x v="139"/>
    <x v="120"/>
    <x v="51"/>
    <x v="202"/>
    <x v="116"/>
    <x v="209"/>
    <x v="3"/>
  </r>
  <r>
    <x v="0"/>
    <x v="14"/>
    <x v="14"/>
    <x v="13"/>
    <x v="13"/>
    <x v="13"/>
    <x v="15"/>
    <x v="153"/>
    <x v="222"/>
    <x v="52"/>
    <x v="228"/>
    <x v="111"/>
    <x v="210"/>
    <x v="3"/>
  </r>
  <r>
    <x v="0"/>
    <x v="14"/>
    <x v="14"/>
    <x v="22"/>
    <x v="22"/>
    <x v="22"/>
    <x v="15"/>
    <x v="153"/>
    <x v="222"/>
    <x v="108"/>
    <x v="60"/>
    <x v="114"/>
    <x v="129"/>
    <x v="3"/>
  </r>
  <r>
    <x v="0"/>
    <x v="14"/>
    <x v="14"/>
    <x v="19"/>
    <x v="19"/>
    <x v="19"/>
    <x v="17"/>
    <x v="141"/>
    <x v="109"/>
    <x v="51"/>
    <x v="202"/>
    <x v="86"/>
    <x v="202"/>
    <x v="3"/>
  </r>
  <r>
    <x v="0"/>
    <x v="14"/>
    <x v="14"/>
    <x v="14"/>
    <x v="14"/>
    <x v="14"/>
    <x v="18"/>
    <x v="150"/>
    <x v="223"/>
    <x v="98"/>
    <x v="174"/>
    <x v="121"/>
    <x v="211"/>
    <x v="3"/>
  </r>
  <r>
    <x v="0"/>
    <x v="14"/>
    <x v="14"/>
    <x v="24"/>
    <x v="24"/>
    <x v="24"/>
    <x v="19"/>
    <x v="154"/>
    <x v="37"/>
    <x v="51"/>
    <x v="202"/>
    <x v="114"/>
    <x v="129"/>
    <x v="3"/>
  </r>
  <r>
    <x v="0"/>
    <x v="15"/>
    <x v="15"/>
    <x v="5"/>
    <x v="5"/>
    <x v="5"/>
    <x v="0"/>
    <x v="169"/>
    <x v="224"/>
    <x v="130"/>
    <x v="229"/>
    <x v="72"/>
    <x v="212"/>
    <x v="3"/>
  </r>
  <r>
    <x v="0"/>
    <x v="15"/>
    <x v="15"/>
    <x v="0"/>
    <x v="0"/>
    <x v="0"/>
    <x v="1"/>
    <x v="170"/>
    <x v="225"/>
    <x v="61"/>
    <x v="230"/>
    <x v="114"/>
    <x v="213"/>
    <x v="3"/>
  </r>
  <r>
    <x v="0"/>
    <x v="15"/>
    <x v="15"/>
    <x v="3"/>
    <x v="3"/>
    <x v="3"/>
    <x v="2"/>
    <x v="171"/>
    <x v="181"/>
    <x v="93"/>
    <x v="231"/>
    <x v="68"/>
    <x v="214"/>
    <x v="3"/>
  </r>
  <r>
    <x v="0"/>
    <x v="15"/>
    <x v="15"/>
    <x v="4"/>
    <x v="4"/>
    <x v="4"/>
    <x v="3"/>
    <x v="57"/>
    <x v="226"/>
    <x v="131"/>
    <x v="232"/>
    <x v="124"/>
    <x v="215"/>
    <x v="3"/>
  </r>
  <r>
    <x v="0"/>
    <x v="15"/>
    <x v="15"/>
    <x v="2"/>
    <x v="2"/>
    <x v="2"/>
    <x v="4"/>
    <x v="133"/>
    <x v="227"/>
    <x v="132"/>
    <x v="233"/>
    <x v="66"/>
    <x v="216"/>
    <x v="3"/>
  </r>
  <r>
    <x v="0"/>
    <x v="15"/>
    <x v="15"/>
    <x v="1"/>
    <x v="1"/>
    <x v="1"/>
    <x v="5"/>
    <x v="74"/>
    <x v="128"/>
    <x v="127"/>
    <x v="234"/>
    <x v="117"/>
    <x v="52"/>
    <x v="3"/>
  </r>
  <r>
    <x v="0"/>
    <x v="15"/>
    <x v="15"/>
    <x v="6"/>
    <x v="6"/>
    <x v="6"/>
    <x v="6"/>
    <x v="105"/>
    <x v="228"/>
    <x v="133"/>
    <x v="235"/>
    <x v="119"/>
    <x v="217"/>
    <x v="3"/>
  </r>
  <r>
    <x v="0"/>
    <x v="15"/>
    <x v="15"/>
    <x v="8"/>
    <x v="8"/>
    <x v="8"/>
    <x v="7"/>
    <x v="158"/>
    <x v="229"/>
    <x v="115"/>
    <x v="201"/>
    <x v="111"/>
    <x v="218"/>
    <x v="3"/>
  </r>
  <r>
    <x v="0"/>
    <x v="15"/>
    <x v="15"/>
    <x v="13"/>
    <x v="13"/>
    <x v="13"/>
    <x v="8"/>
    <x v="147"/>
    <x v="230"/>
    <x v="108"/>
    <x v="70"/>
    <x v="116"/>
    <x v="219"/>
    <x v="3"/>
  </r>
  <r>
    <x v="0"/>
    <x v="15"/>
    <x v="15"/>
    <x v="11"/>
    <x v="11"/>
    <x v="11"/>
    <x v="9"/>
    <x v="137"/>
    <x v="198"/>
    <x v="97"/>
    <x v="45"/>
    <x v="125"/>
    <x v="220"/>
    <x v="3"/>
  </r>
  <r>
    <x v="0"/>
    <x v="15"/>
    <x v="15"/>
    <x v="7"/>
    <x v="7"/>
    <x v="7"/>
    <x v="10"/>
    <x v="139"/>
    <x v="149"/>
    <x v="48"/>
    <x v="236"/>
    <x v="120"/>
    <x v="221"/>
    <x v="3"/>
  </r>
  <r>
    <x v="0"/>
    <x v="15"/>
    <x v="15"/>
    <x v="9"/>
    <x v="9"/>
    <x v="9"/>
    <x v="10"/>
    <x v="139"/>
    <x v="149"/>
    <x v="66"/>
    <x v="74"/>
    <x v="125"/>
    <x v="220"/>
    <x v="3"/>
  </r>
  <r>
    <x v="0"/>
    <x v="15"/>
    <x v="15"/>
    <x v="29"/>
    <x v="29"/>
    <x v="29"/>
    <x v="12"/>
    <x v="153"/>
    <x v="231"/>
    <x v="51"/>
    <x v="55"/>
    <x v="100"/>
    <x v="222"/>
    <x v="3"/>
  </r>
  <r>
    <x v="0"/>
    <x v="15"/>
    <x v="15"/>
    <x v="18"/>
    <x v="18"/>
    <x v="18"/>
    <x v="13"/>
    <x v="140"/>
    <x v="232"/>
    <x v="76"/>
    <x v="85"/>
    <x v="113"/>
    <x v="223"/>
    <x v="3"/>
  </r>
  <r>
    <x v="0"/>
    <x v="15"/>
    <x v="15"/>
    <x v="30"/>
    <x v="30"/>
    <x v="30"/>
    <x v="13"/>
    <x v="140"/>
    <x v="232"/>
    <x v="108"/>
    <x v="70"/>
    <x v="117"/>
    <x v="52"/>
    <x v="3"/>
  </r>
  <r>
    <x v="0"/>
    <x v="15"/>
    <x v="15"/>
    <x v="12"/>
    <x v="12"/>
    <x v="12"/>
    <x v="13"/>
    <x v="140"/>
    <x v="232"/>
    <x v="76"/>
    <x v="85"/>
    <x v="113"/>
    <x v="223"/>
    <x v="3"/>
  </r>
  <r>
    <x v="0"/>
    <x v="15"/>
    <x v="15"/>
    <x v="27"/>
    <x v="27"/>
    <x v="27"/>
    <x v="13"/>
    <x v="140"/>
    <x v="232"/>
    <x v="108"/>
    <x v="70"/>
    <x v="121"/>
    <x v="224"/>
    <x v="3"/>
  </r>
  <r>
    <x v="0"/>
    <x v="15"/>
    <x v="15"/>
    <x v="26"/>
    <x v="26"/>
    <x v="26"/>
    <x v="13"/>
    <x v="140"/>
    <x v="232"/>
    <x v="98"/>
    <x v="237"/>
    <x v="119"/>
    <x v="217"/>
    <x v="3"/>
  </r>
  <r>
    <x v="0"/>
    <x v="15"/>
    <x v="15"/>
    <x v="19"/>
    <x v="19"/>
    <x v="19"/>
    <x v="18"/>
    <x v="141"/>
    <x v="74"/>
    <x v="91"/>
    <x v="238"/>
    <x v="117"/>
    <x v="52"/>
    <x v="3"/>
  </r>
  <r>
    <x v="0"/>
    <x v="15"/>
    <x v="15"/>
    <x v="31"/>
    <x v="31"/>
    <x v="31"/>
    <x v="19"/>
    <x v="150"/>
    <x v="38"/>
    <x v="108"/>
    <x v="70"/>
    <x v="113"/>
    <x v="223"/>
    <x v="3"/>
  </r>
  <r>
    <x v="0"/>
    <x v="15"/>
    <x v="15"/>
    <x v="25"/>
    <x v="25"/>
    <x v="25"/>
    <x v="19"/>
    <x v="150"/>
    <x v="38"/>
    <x v="37"/>
    <x v="202"/>
    <x v="114"/>
    <x v="213"/>
    <x v="3"/>
  </r>
  <r>
    <x v="0"/>
    <x v="15"/>
    <x v="15"/>
    <x v="16"/>
    <x v="16"/>
    <x v="16"/>
    <x v="19"/>
    <x v="150"/>
    <x v="38"/>
    <x v="79"/>
    <x v="88"/>
    <x v="100"/>
    <x v="222"/>
    <x v="3"/>
  </r>
  <r>
    <x v="0"/>
    <x v="15"/>
    <x v="15"/>
    <x v="14"/>
    <x v="14"/>
    <x v="14"/>
    <x v="19"/>
    <x v="150"/>
    <x v="38"/>
    <x v="66"/>
    <x v="74"/>
    <x v="126"/>
    <x v="225"/>
    <x v="3"/>
  </r>
  <r>
    <x v="0"/>
    <x v="16"/>
    <x v="16"/>
    <x v="0"/>
    <x v="0"/>
    <x v="0"/>
    <x v="0"/>
    <x v="172"/>
    <x v="233"/>
    <x v="47"/>
    <x v="239"/>
    <x v="95"/>
    <x v="226"/>
    <x v="3"/>
  </r>
  <r>
    <x v="0"/>
    <x v="16"/>
    <x v="16"/>
    <x v="2"/>
    <x v="2"/>
    <x v="2"/>
    <x v="1"/>
    <x v="51"/>
    <x v="234"/>
    <x v="85"/>
    <x v="240"/>
    <x v="127"/>
    <x v="227"/>
    <x v="3"/>
  </r>
  <r>
    <x v="0"/>
    <x v="16"/>
    <x v="16"/>
    <x v="3"/>
    <x v="3"/>
    <x v="3"/>
    <x v="2"/>
    <x v="52"/>
    <x v="235"/>
    <x v="93"/>
    <x v="160"/>
    <x v="122"/>
    <x v="228"/>
    <x v="3"/>
  </r>
  <r>
    <x v="0"/>
    <x v="16"/>
    <x v="16"/>
    <x v="1"/>
    <x v="1"/>
    <x v="1"/>
    <x v="3"/>
    <x v="113"/>
    <x v="236"/>
    <x v="134"/>
    <x v="241"/>
    <x v="115"/>
    <x v="105"/>
    <x v="0"/>
  </r>
  <r>
    <x v="0"/>
    <x v="16"/>
    <x v="16"/>
    <x v="5"/>
    <x v="5"/>
    <x v="5"/>
    <x v="4"/>
    <x v="173"/>
    <x v="237"/>
    <x v="120"/>
    <x v="242"/>
    <x v="85"/>
    <x v="229"/>
    <x v="3"/>
  </r>
  <r>
    <x v="0"/>
    <x v="16"/>
    <x v="16"/>
    <x v="7"/>
    <x v="7"/>
    <x v="7"/>
    <x v="5"/>
    <x v="104"/>
    <x v="238"/>
    <x v="132"/>
    <x v="243"/>
    <x v="95"/>
    <x v="226"/>
    <x v="3"/>
  </r>
  <r>
    <x v="0"/>
    <x v="16"/>
    <x v="16"/>
    <x v="9"/>
    <x v="9"/>
    <x v="9"/>
    <x v="5"/>
    <x v="104"/>
    <x v="238"/>
    <x v="113"/>
    <x v="244"/>
    <x v="117"/>
    <x v="230"/>
    <x v="3"/>
  </r>
  <r>
    <x v="0"/>
    <x v="16"/>
    <x v="16"/>
    <x v="6"/>
    <x v="6"/>
    <x v="6"/>
    <x v="7"/>
    <x v="105"/>
    <x v="239"/>
    <x v="88"/>
    <x v="245"/>
    <x v="85"/>
    <x v="229"/>
    <x v="3"/>
  </r>
  <r>
    <x v="0"/>
    <x v="16"/>
    <x v="16"/>
    <x v="8"/>
    <x v="8"/>
    <x v="8"/>
    <x v="8"/>
    <x v="86"/>
    <x v="240"/>
    <x v="46"/>
    <x v="246"/>
    <x v="85"/>
    <x v="229"/>
    <x v="3"/>
  </r>
  <r>
    <x v="0"/>
    <x v="16"/>
    <x v="16"/>
    <x v="11"/>
    <x v="11"/>
    <x v="11"/>
    <x v="9"/>
    <x v="130"/>
    <x v="241"/>
    <x v="67"/>
    <x v="247"/>
    <x v="119"/>
    <x v="154"/>
    <x v="3"/>
  </r>
  <r>
    <x v="0"/>
    <x v="16"/>
    <x v="16"/>
    <x v="13"/>
    <x v="13"/>
    <x v="13"/>
    <x v="10"/>
    <x v="106"/>
    <x v="242"/>
    <x v="52"/>
    <x v="248"/>
    <x v="128"/>
    <x v="231"/>
    <x v="3"/>
  </r>
  <r>
    <x v="0"/>
    <x v="16"/>
    <x v="16"/>
    <x v="14"/>
    <x v="14"/>
    <x v="14"/>
    <x v="10"/>
    <x v="106"/>
    <x v="242"/>
    <x v="75"/>
    <x v="249"/>
    <x v="83"/>
    <x v="232"/>
    <x v="3"/>
  </r>
  <r>
    <x v="0"/>
    <x v="16"/>
    <x v="16"/>
    <x v="12"/>
    <x v="12"/>
    <x v="12"/>
    <x v="12"/>
    <x v="146"/>
    <x v="243"/>
    <x v="16"/>
    <x v="187"/>
    <x v="72"/>
    <x v="233"/>
    <x v="3"/>
  </r>
  <r>
    <x v="0"/>
    <x v="16"/>
    <x v="16"/>
    <x v="4"/>
    <x v="4"/>
    <x v="4"/>
    <x v="13"/>
    <x v="93"/>
    <x v="133"/>
    <x v="108"/>
    <x v="49"/>
    <x v="110"/>
    <x v="64"/>
    <x v="3"/>
  </r>
  <r>
    <x v="0"/>
    <x v="16"/>
    <x v="16"/>
    <x v="10"/>
    <x v="10"/>
    <x v="10"/>
    <x v="14"/>
    <x v="158"/>
    <x v="108"/>
    <x v="90"/>
    <x v="174"/>
    <x v="83"/>
    <x v="232"/>
    <x v="3"/>
  </r>
  <r>
    <x v="0"/>
    <x v="16"/>
    <x v="16"/>
    <x v="19"/>
    <x v="19"/>
    <x v="19"/>
    <x v="15"/>
    <x v="137"/>
    <x v="244"/>
    <x v="91"/>
    <x v="18"/>
    <x v="100"/>
    <x v="120"/>
    <x v="0"/>
  </r>
  <r>
    <x v="0"/>
    <x v="16"/>
    <x v="16"/>
    <x v="16"/>
    <x v="16"/>
    <x v="16"/>
    <x v="15"/>
    <x v="137"/>
    <x v="244"/>
    <x v="79"/>
    <x v="88"/>
    <x v="110"/>
    <x v="64"/>
    <x v="0"/>
  </r>
  <r>
    <x v="0"/>
    <x v="16"/>
    <x v="16"/>
    <x v="22"/>
    <x v="22"/>
    <x v="22"/>
    <x v="17"/>
    <x v="139"/>
    <x v="124"/>
    <x v="16"/>
    <x v="187"/>
    <x v="114"/>
    <x v="234"/>
    <x v="3"/>
  </r>
  <r>
    <x v="0"/>
    <x v="16"/>
    <x v="16"/>
    <x v="18"/>
    <x v="18"/>
    <x v="18"/>
    <x v="18"/>
    <x v="153"/>
    <x v="19"/>
    <x v="37"/>
    <x v="72"/>
    <x v="86"/>
    <x v="235"/>
    <x v="3"/>
  </r>
  <r>
    <x v="0"/>
    <x v="16"/>
    <x v="16"/>
    <x v="25"/>
    <x v="25"/>
    <x v="25"/>
    <x v="18"/>
    <x v="153"/>
    <x v="19"/>
    <x v="54"/>
    <x v="250"/>
    <x v="124"/>
    <x v="236"/>
    <x v="3"/>
  </r>
  <r>
    <x v="0"/>
    <x v="17"/>
    <x v="17"/>
    <x v="1"/>
    <x v="1"/>
    <x v="1"/>
    <x v="0"/>
    <x v="169"/>
    <x v="245"/>
    <x v="61"/>
    <x v="251"/>
    <x v="110"/>
    <x v="237"/>
    <x v="3"/>
  </r>
  <r>
    <x v="0"/>
    <x v="17"/>
    <x v="17"/>
    <x v="0"/>
    <x v="0"/>
    <x v="0"/>
    <x v="1"/>
    <x v="166"/>
    <x v="246"/>
    <x v="135"/>
    <x v="252"/>
    <x v="94"/>
    <x v="238"/>
    <x v="3"/>
  </r>
  <r>
    <x v="0"/>
    <x v="17"/>
    <x v="17"/>
    <x v="2"/>
    <x v="2"/>
    <x v="2"/>
    <x v="2"/>
    <x v="128"/>
    <x v="247"/>
    <x v="77"/>
    <x v="179"/>
    <x v="129"/>
    <x v="239"/>
    <x v="3"/>
  </r>
  <r>
    <x v="0"/>
    <x v="17"/>
    <x v="17"/>
    <x v="3"/>
    <x v="3"/>
    <x v="3"/>
    <x v="3"/>
    <x v="168"/>
    <x v="235"/>
    <x v="115"/>
    <x v="213"/>
    <x v="92"/>
    <x v="240"/>
    <x v="3"/>
  </r>
  <r>
    <x v="0"/>
    <x v="17"/>
    <x v="17"/>
    <x v="5"/>
    <x v="5"/>
    <x v="5"/>
    <x v="4"/>
    <x v="83"/>
    <x v="3"/>
    <x v="124"/>
    <x v="253"/>
    <x v="116"/>
    <x v="241"/>
    <x v="0"/>
  </r>
  <r>
    <x v="0"/>
    <x v="17"/>
    <x v="17"/>
    <x v="32"/>
    <x v="32"/>
    <x v="32"/>
    <x v="5"/>
    <x v="145"/>
    <x v="248"/>
    <x v="38"/>
    <x v="171"/>
    <x v="124"/>
    <x v="242"/>
    <x v="3"/>
  </r>
  <r>
    <x v="0"/>
    <x v="17"/>
    <x v="17"/>
    <x v="6"/>
    <x v="6"/>
    <x v="6"/>
    <x v="6"/>
    <x v="152"/>
    <x v="83"/>
    <x v="48"/>
    <x v="254"/>
    <x v="111"/>
    <x v="186"/>
    <x v="3"/>
  </r>
  <r>
    <x v="0"/>
    <x v="17"/>
    <x v="17"/>
    <x v="7"/>
    <x v="7"/>
    <x v="7"/>
    <x v="6"/>
    <x v="152"/>
    <x v="83"/>
    <x v="115"/>
    <x v="213"/>
    <x v="94"/>
    <x v="238"/>
    <x v="3"/>
  </r>
  <r>
    <x v="0"/>
    <x v="17"/>
    <x v="17"/>
    <x v="11"/>
    <x v="11"/>
    <x v="11"/>
    <x v="8"/>
    <x v="147"/>
    <x v="85"/>
    <x v="88"/>
    <x v="243"/>
    <x v="125"/>
    <x v="220"/>
    <x v="3"/>
  </r>
  <r>
    <x v="0"/>
    <x v="17"/>
    <x v="17"/>
    <x v="13"/>
    <x v="13"/>
    <x v="13"/>
    <x v="9"/>
    <x v="137"/>
    <x v="249"/>
    <x v="91"/>
    <x v="255"/>
    <x v="116"/>
    <x v="241"/>
    <x v="3"/>
  </r>
  <r>
    <x v="0"/>
    <x v="17"/>
    <x v="17"/>
    <x v="10"/>
    <x v="10"/>
    <x v="10"/>
    <x v="10"/>
    <x v="149"/>
    <x v="250"/>
    <x v="115"/>
    <x v="213"/>
    <x v="119"/>
    <x v="130"/>
    <x v="3"/>
  </r>
  <r>
    <x v="0"/>
    <x v="17"/>
    <x v="17"/>
    <x v="9"/>
    <x v="9"/>
    <x v="9"/>
    <x v="10"/>
    <x v="149"/>
    <x v="250"/>
    <x v="48"/>
    <x v="254"/>
    <x v="119"/>
    <x v="130"/>
    <x v="0"/>
  </r>
  <r>
    <x v="0"/>
    <x v="17"/>
    <x v="17"/>
    <x v="12"/>
    <x v="12"/>
    <x v="12"/>
    <x v="12"/>
    <x v="138"/>
    <x v="162"/>
    <x v="16"/>
    <x v="256"/>
    <x v="94"/>
    <x v="238"/>
    <x v="3"/>
  </r>
  <r>
    <x v="0"/>
    <x v="17"/>
    <x v="17"/>
    <x v="14"/>
    <x v="14"/>
    <x v="14"/>
    <x v="12"/>
    <x v="138"/>
    <x v="162"/>
    <x v="66"/>
    <x v="257"/>
    <x v="83"/>
    <x v="243"/>
    <x v="3"/>
  </r>
  <r>
    <x v="0"/>
    <x v="17"/>
    <x v="17"/>
    <x v="18"/>
    <x v="18"/>
    <x v="18"/>
    <x v="14"/>
    <x v="139"/>
    <x v="251"/>
    <x v="91"/>
    <x v="255"/>
    <x v="111"/>
    <x v="186"/>
    <x v="3"/>
  </r>
  <r>
    <x v="0"/>
    <x v="17"/>
    <x v="17"/>
    <x v="19"/>
    <x v="19"/>
    <x v="19"/>
    <x v="15"/>
    <x v="141"/>
    <x v="252"/>
    <x v="51"/>
    <x v="216"/>
    <x v="86"/>
    <x v="143"/>
    <x v="3"/>
  </r>
  <r>
    <x v="0"/>
    <x v="17"/>
    <x v="17"/>
    <x v="4"/>
    <x v="4"/>
    <x v="4"/>
    <x v="16"/>
    <x v="154"/>
    <x v="55"/>
    <x v="52"/>
    <x v="164"/>
    <x v="113"/>
    <x v="208"/>
    <x v="3"/>
  </r>
  <r>
    <x v="0"/>
    <x v="17"/>
    <x v="17"/>
    <x v="25"/>
    <x v="25"/>
    <x v="25"/>
    <x v="17"/>
    <x v="155"/>
    <x v="18"/>
    <x v="51"/>
    <x v="216"/>
    <x v="117"/>
    <x v="157"/>
    <x v="3"/>
  </r>
  <r>
    <x v="0"/>
    <x v="17"/>
    <x v="17"/>
    <x v="27"/>
    <x v="27"/>
    <x v="27"/>
    <x v="17"/>
    <x v="155"/>
    <x v="18"/>
    <x v="54"/>
    <x v="258"/>
    <x v="113"/>
    <x v="208"/>
    <x v="3"/>
  </r>
  <r>
    <x v="0"/>
    <x v="17"/>
    <x v="17"/>
    <x v="22"/>
    <x v="22"/>
    <x v="22"/>
    <x v="17"/>
    <x v="155"/>
    <x v="18"/>
    <x v="52"/>
    <x v="164"/>
    <x v="120"/>
    <x v="244"/>
    <x v="3"/>
  </r>
  <r>
    <x v="0"/>
    <x v="18"/>
    <x v="18"/>
    <x v="0"/>
    <x v="0"/>
    <x v="0"/>
    <x v="0"/>
    <x v="174"/>
    <x v="253"/>
    <x v="136"/>
    <x v="259"/>
    <x v="110"/>
    <x v="54"/>
    <x v="3"/>
  </r>
  <r>
    <x v="0"/>
    <x v="18"/>
    <x v="18"/>
    <x v="5"/>
    <x v="5"/>
    <x v="5"/>
    <x v="1"/>
    <x v="175"/>
    <x v="247"/>
    <x v="44"/>
    <x v="260"/>
    <x v="92"/>
    <x v="245"/>
    <x v="8"/>
  </r>
  <r>
    <x v="0"/>
    <x v="18"/>
    <x v="18"/>
    <x v="1"/>
    <x v="1"/>
    <x v="1"/>
    <x v="2"/>
    <x v="176"/>
    <x v="254"/>
    <x v="137"/>
    <x v="261"/>
    <x v="110"/>
    <x v="54"/>
    <x v="3"/>
  </r>
  <r>
    <x v="0"/>
    <x v="18"/>
    <x v="18"/>
    <x v="2"/>
    <x v="2"/>
    <x v="2"/>
    <x v="3"/>
    <x v="177"/>
    <x v="255"/>
    <x v="138"/>
    <x v="262"/>
    <x v="51"/>
    <x v="246"/>
    <x v="3"/>
  </r>
  <r>
    <x v="0"/>
    <x v="18"/>
    <x v="18"/>
    <x v="3"/>
    <x v="3"/>
    <x v="3"/>
    <x v="4"/>
    <x v="178"/>
    <x v="256"/>
    <x v="139"/>
    <x v="263"/>
    <x v="130"/>
    <x v="247"/>
    <x v="3"/>
  </r>
  <r>
    <x v="0"/>
    <x v="18"/>
    <x v="18"/>
    <x v="4"/>
    <x v="4"/>
    <x v="4"/>
    <x v="5"/>
    <x v="179"/>
    <x v="172"/>
    <x v="134"/>
    <x v="264"/>
    <x v="97"/>
    <x v="248"/>
    <x v="3"/>
  </r>
  <r>
    <x v="0"/>
    <x v="18"/>
    <x v="18"/>
    <x v="7"/>
    <x v="7"/>
    <x v="7"/>
    <x v="6"/>
    <x v="180"/>
    <x v="257"/>
    <x v="130"/>
    <x v="265"/>
    <x v="67"/>
    <x v="249"/>
    <x v="3"/>
  </r>
  <r>
    <x v="0"/>
    <x v="18"/>
    <x v="18"/>
    <x v="6"/>
    <x v="6"/>
    <x v="6"/>
    <x v="7"/>
    <x v="113"/>
    <x v="186"/>
    <x v="140"/>
    <x v="266"/>
    <x v="84"/>
    <x v="5"/>
    <x v="3"/>
  </r>
  <r>
    <x v="0"/>
    <x v="18"/>
    <x v="18"/>
    <x v="11"/>
    <x v="11"/>
    <x v="11"/>
    <x v="8"/>
    <x v="181"/>
    <x v="242"/>
    <x v="141"/>
    <x v="267"/>
    <x v="113"/>
    <x v="250"/>
    <x v="3"/>
  </r>
  <r>
    <x v="0"/>
    <x v="18"/>
    <x v="18"/>
    <x v="8"/>
    <x v="8"/>
    <x v="8"/>
    <x v="9"/>
    <x v="128"/>
    <x v="258"/>
    <x v="142"/>
    <x v="147"/>
    <x v="79"/>
    <x v="251"/>
    <x v="3"/>
  </r>
  <r>
    <x v="0"/>
    <x v="18"/>
    <x v="18"/>
    <x v="9"/>
    <x v="9"/>
    <x v="9"/>
    <x v="10"/>
    <x v="182"/>
    <x v="259"/>
    <x v="143"/>
    <x v="268"/>
    <x v="113"/>
    <x v="250"/>
    <x v="3"/>
  </r>
  <r>
    <x v="0"/>
    <x v="18"/>
    <x v="18"/>
    <x v="18"/>
    <x v="18"/>
    <x v="18"/>
    <x v="11"/>
    <x v="133"/>
    <x v="71"/>
    <x v="105"/>
    <x v="269"/>
    <x v="81"/>
    <x v="125"/>
    <x v="1"/>
  </r>
  <r>
    <x v="0"/>
    <x v="18"/>
    <x v="18"/>
    <x v="12"/>
    <x v="12"/>
    <x v="12"/>
    <x v="12"/>
    <x v="74"/>
    <x v="260"/>
    <x v="49"/>
    <x v="270"/>
    <x v="73"/>
    <x v="252"/>
    <x v="3"/>
  </r>
  <r>
    <x v="0"/>
    <x v="18"/>
    <x v="18"/>
    <x v="33"/>
    <x v="33"/>
    <x v="33"/>
    <x v="13"/>
    <x v="104"/>
    <x v="210"/>
    <x v="79"/>
    <x v="88"/>
    <x v="126"/>
    <x v="253"/>
    <x v="12"/>
  </r>
  <r>
    <x v="0"/>
    <x v="18"/>
    <x v="18"/>
    <x v="32"/>
    <x v="32"/>
    <x v="32"/>
    <x v="14"/>
    <x v="105"/>
    <x v="261"/>
    <x v="93"/>
    <x v="271"/>
    <x v="94"/>
    <x v="254"/>
    <x v="3"/>
  </r>
  <r>
    <x v="0"/>
    <x v="18"/>
    <x v="18"/>
    <x v="13"/>
    <x v="13"/>
    <x v="13"/>
    <x v="15"/>
    <x v="85"/>
    <x v="262"/>
    <x v="81"/>
    <x v="272"/>
    <x v="81"/>
    <x v="125"/>
    <x v="3"/>
  </r>
  <r>
    <x v="0"/>
    <x v="18"/>
    <x v="18"/>
    <x v="10"/>
    <x v="10"/>
    <x v="10"/>
    <x v="16"/>
    <x v="86"/>
    <x v="263"/>
    <x v="113"/>
    <x v="273"/>
    <x v="111"/>
    <x v="255"/>
    <x v="3"/>
  </r>
  <r>
    <x v="0"/>
    <x v="18"/>
    <x v="18"/>
    <x v="16"/>
    <x v="16"/>
    <x v="16"/>
    <x v="17"/>
    <x v="134"/>
    <x v="16"/>
    <x v="79"/>
    <x v="88"/>
    <x v="102"/>
    <x v="256"/>
    <x v="3"/>
  </r>
  <r>
    <x v="0"/>
    <x v="18"/>
    <x v="18"/>
    <x v="25"/>
    <x v="25"/>
    <x v="25"/>
    <x v="18"/>
    <x v="117"/>
    <x v="36"/>
    <x v="121"/>
    <x v="274"/>
    <x v="85"/>
    <x v="257"/>
    <x v="3"/>
  </r>
  <r>
    <x v="0"/>
    <x v="18"/>
    <x v="18"/>
    <x v="14"/>
    <x v="14"/>
    <x v="14"/>
    <x v="18"/>
    <x v="117"/>
    <x v="36"/>
    <x v="93"/>
    <x v="271"/>
    <x v="113"/>
    <x v="250"/>
    <x v="3"/>
  </r>
  <r>
    <x v="0"/>
    <x v="19"/>
    <x v="19"/>
    <x v="0"/>
    <x v="0"/>
    <x v="0"/>
    <x v="0"/>
    <x v="126"/>
    <x v="264"/>
    <x v="144"/>
    <x v="275"/>
    <x v="124"/>
    <x v="258"/>
    <x v="3"/>
  </r>
  <r>
    <x v="0"/>
    <x v="19"/>
    <x v="19"/>
    <x v="3"/>
    <x v="3"/>
    <x v="3"/>
    <x v="1"/>
    <x v="74"/>
    <x v="265"/>
    <x v="98"/>
    <x v="276"/>
    <x v="131"/>
    <x v="259"/>
    <x v="3"/>
  </r>
  <r>
    <x v="0"/>
    <x v="19"/>
    <x v="19"/>
    <x v="1"/>
    <x v="1"/>
    <x v="1"/>
    <x v="1"/>
    <x v="74"/>
    <x v="265"/>
    <x v="143"/>
    <x v="277"/>
    <x v="83"/>
    <x v="260"/>
    <x v="3"/>
  </r>
  <r>
    <x v="0"/>
    <x v="19"/>
    <x v="19"/>
    <x v="2"/>
    <x v="2"/>
    <x v="2"/>
    <x v="3"/>
    <x v="76"/>
    <x v="266"/>
    <x v="97"/>
    <x v="278"/>
    <x v="101"/>
    <x v="261"/>
    <x v="3"/>
  </r>
  <r>
    <x v="0"/>
    <x v="19"/>
    <x v="19"/>
    <x v="9"/>
    <x v="9"/>
    <x v="9"/>
    <x v="3"/>
    <x v="76"/>
    <x v="266"/>
    <x v="124"/>
    <x v="279"/>
    <x v="100"/>
    <x v="262"/>
    <x v="3"/>
  </r>
  <r>
    <x v="0"/>
    <x v="19"/>
    <x v="19"/>
    <x v="6"/>
    <x v="6"/>
    <x v="6"/>
    <x v="5"/>
    <x v="84"/>
    <x v="267"/>
    <x v="108"/>
    <x v="148"/>
    <x v="107"/>
    <x v="263"/>
    <x v="3"/>
  </r>
  <r>
    <x v="0"/>
    <x v="19"/>
    <x v="19"/>
    <x v="5"/>
    <x v="5"/>
    <x v="5"/>
    <x v="5"/>
    <x v="84"/>
    <x v="267"/>
    <x v="62"/>
    <x v="280"/>
    <x v="67"/>
    <x v="264"/>
    <x v="3"/>
  </r>
  <r>
    <x v="0"/>
    <x v="19"/>
    <x v="19"/>
    <x v="8"/>
    <x v="8"/>
    <x v="8"/>
    <x v="7"/>
    <x v="134"/>
    <x v="268"/>
    <x v="98"/>
    <x v="276"/>
    <x v="96"/>
    <x v="265"/>
    <x v="3"/>
  </r>
  <r>
    <x v="0"/>
    <x v="19"/>
    <x v="19"/>
    <x v="11"/>
    <x v="11"/>
    <x v="11"/>
    <x v="8"/>
    <x v="89"/>
    <x v="269"/>
    <x v="132"/>
    <x v="281"/>
    <x v="119"/>
    <x v="266"/>
    <x v="3"/>
  </r>
  <r>
    <x v="0"/>
    <x v="19"/>
    <x v="19"/>
    <x v="4"/>
    <x v="4"/>
    <x v="4"/>
    <x v="9"/>
    <x v="119"/>
    <x v="270"/>
    <x v="128"/>
    <x v="138"/>
    <x v="60"/>
    <x v="267"/>
    <x v="3"/>
  </r>
  <r>
    <x v="0"/>
    <x v="19"/>
    <x v="19"/>
    <x v="7"/>
    <x v="7"/>
    <x v="7"/>
    <x v="10"/>
    <x v="158"/>
    <x v="271"/>
    <x v="35"/>
    <x v="282"/>
    <x v="124"/>
    <x v="258"/>
    <x v="3"/>
  </r>
  <r>
    <x v="0"/>
    <x v="19"/>
    <x v="19"/>
    <x v="16"/>
    <x v="16"/>
    <x v="16"/>
    <x v="11"/>
    <x v="147"/>
    <x v="272"/>
    <x v="79"/>
    <x v="88"/>
    <x v="72"/>
    <x v="268"/>
    <x v="3"/>
  </r>
  <r>
    <x v="0"/>
    <x v="19"/>
    <x v="19"/>
    <x v="10"/>
    <x v="10"/>
    <x v="10"/>
    <x v="12"/>
    <x v="148"/>
    <x v="273"/>
    <x v="76"/>
    <x v="30"/>
    <x v="111"/>
    <x v="129"/>
    <x v="3"/>
  </r>
  <r>
    <x v="0"/>
    <x v="19"/>
    <x v="19"/>
    <x v="24"/>
    <x v="24"/>
    <x v="24"/>
    <x v="13"/>
    <x v="153"/>
    <x v="274"/>
    <x v="128"/>
    <x v="138"/>
    <x v="116"/>
    <x v="269"/>
    <x v="3"/>
  </r>
  <r>
    <x v="0"/>
    <x v="19"/>
    <x v="19"/>
    <x v="13"/>
    <x v="13"/>
    <x v="13"/>
    <x v="13"/>
    <x v="153"/>
    <x v="274"/>
    <x v="91"/>
    <x v="237"/>
    <x v="94"/>
    <x v="270"/>
    <x v="3"/>
  </r>
  <r>
    <x v="0"/>
    <x v="19"/>
    <x v="19"/>
    <x v="19"/>
    <x v="19"/>
    <x v="19"/>
    <x v="15"/>
    <x v="140"/>
    <x v="223"/>
    <x v="54"/>
    <x v="154"/>
    <x v="86"/>
    <x v="32"/>
    <x v="3"/>
  </r>
  <r>
    <x v="0"/>
    <x v="19"/>
    <x v="19"/>
    <x v="15"/>
    <x v="15"/>
    <x v="15"/>
    <x v="15"/>
    <x v="140"/>
    <x v="223"/>
    <x v="128"/>
    <x v="138"/>
    <x v="100"/>
    <x v="262"/>
    <x v="3"/>
  </r>
  <r>
    <x v="0"/>
    <x v="19"/>
    <x v="19"/>
    <x v="12"/>
    <x v="12"/>
    <x v="12"/>
    <x v="17"/>
    <x v="150"/>
    <x v="275"/>
    <x v="108"/>
    <x v="148"/>
    <x v="113"/>
    <x v="173"/>
    <x v="3"/>
  </r>
  <r>
    <x v="0"/>
    <x v="19"/>
    <x v="19"/>
    <x v="14"/>
    <x v="14"/>
    <x v="14"/>
    <x v="17"/>
    <x v="150"/>
    <x v="275"/>
    <x v="98"/>
    <x v="276"/>
    <x v="121"/>
    <x v="271"/>
    <x v="3"/>
  </r>
  <r>
    <x v="0"/>
    <x v="19"/>
    <x v="19"/>
    <x v="17"/>
    <x v="17"/>
    <x v="17"/>
    <x v="19"/>
    <x v="183"/>
    <x v="276"/>
    <x v="128"/>
    <x v="138"/>
    <x v="111"/>
    <x v="129"/>
    <x v="3"/>
  </r>
  <r>
    <x v="0"/>
    <x v="19"/>
    <x v="19"/>
    <x v="21"/>
    <x v="21"/>
    <x v="21"/>
    <x v="19"/>
    <x v="183"/>
    <x v="276"/>
    <x v="54"/>
    <x v="154"/>
    <x v="114"/>
    <x v="272"/>
    <x v="3"/>
  </r>
  <r>
    <x v="0"/>
    <x v="20"/>
    <x v="20"/>
    <x v="3"/>
    <x v="3"/>
    <x v="3"/>
    <x v="0"/>
    <x v="146"/>
    <x v="277"/>
    <x v="76"/>
    <x v="283"/>
    <x v="110"/>
    <x v="273"/>
    <x v="3"/>
  </r>
  <r>
    <x v="0"/>
    <x v="20"/>
    <x v="20"/>
    <x v="0"/>
    <x v="0"/>
    <x v="0"/>
    <x v="0"/>
    <x v="146"/>
    <x v="277"/>
    <x v="57"/>
    <x v="284"/>
    <x v="125"/>
    <x v="220"/>
    <x v="3"/>
  </r>
  <r>
    <x v="0"/>
    <x v="20"/>
    <x v="20"/>
    <x v="2"/>
    <x v="2"/>
    <x v="2"/>
    <x v="2"/>
    <x v="152"/>
    <x v="278"/>
    <x v="35"/>
    <x v="285"/>
    <x v="86"/>
    <x v="274"/>
    <x v="3"/>
  </r>
  <r>
    <x v="0"/>
    <x v="20"/>
    <x v="20"/>
    <x v="6"/>
    <x v="6"/>
    <x v="6"/>
    <x v="3"/>
    <x v="153"/>
    <x v="279"/>
    <x v="35"/>
    <x v="285"/>
    <x v="120"/>
    <x v="275"/>
    <x v="3"/>
  </r>
  <r>
    <x v="0"/>
    <x v="20"/>
    <x v="20"/>
    <x v="5"/>
    <x v="5"/>
    <x v="5"/>
    <x v="4"/>
    <x v="140"/>
    <x v="280"/>
    <x v="66"/>
    <x v="286"/>
    <x v="121"/>
    <x v="76"/>
    <x v="0"/>
  </r>
  <r>
    <x v="0"/>
    <x v="20"/>
    <x v="20"/>
    <x v="1"/>
    <x v="1"/>
    <x v="1"/>
    <x v="5"/>
    <x v="141"/>
    <x v="281"/>
    <x v="66"/>
    <x v="286"/>
    <x v="121"/>
    <x v="76"/>
    <x v="3"/>
  </r>
  <r>
    <x v="0"/>
    <x v="20"/>
    <x v="20"/>
    <x v="7"/>
    <x v="7"/>
    <x v="7"/>
    <x v="6"/>
    <x v="184"/>
    <x v="173"/>
    <x v="37"/>
    <x v="287"/>
    <x v="120"/>
    <x v="275"/>
    <x v="3"/>
  </r>
  <r>
    <x v="0"/>
    <x v="20"/>
    <x v="20"/>
    <x v="8"/>
    <x v="8"/>
    <x v="8"/>
    <x v="7"/>
    <x v="185"/>
    <x v="49"/>
    <x v="37"/>
    <x v="287"/>
    <x v="121"/>
    <x v="76"/>
    <x v="3"/>
  </r>
  <r>
    <x v="0"/>
    <x v="20"/>
    <x v="20"/>
    <x v="11"/>
    <x v="11"/>
    <x v="11"/>
    <x v="8"/>
    <x v="186"/>
    <x v="282"/>
    <x v="37"/>
    <x v="287"/>
    <x v="126"/>
    <x v="276"/>
    <x v="3"/>
  </r>
  <r>
    <x v="0"/>
    <x v="20"/>
    <x v="20"/>
    <x v="14"/>
    <x v="14"/>
    <x v="14"/>
    <x v="8"/>
    <x v="186"/>
    <x v="282"/>
    <x v="37"/>
    <x v="287"/>
    <x v="126"/>
    <x v="276"/>
    <x v="3"/>
  </r>
  <r>
    <x v="0"/>
    <x v="20"/>
    <x v="20"/>
    <x v="19"/>
    <x v="19"/>
    <x v="19"/>
    <x v="10"/>
    <x v="187"/>
    <x v="120"/>
    <x v="51"/>
    <x v="60"/>
    <x v="121"/>
    <x v="76"/>
    <x v="3"/>
  </r>
  <r>
    <x v="0"/>
    <x v="20"/>
    <x v="20"/>
    <x v="27"/>
    <x v="27"/>
    <x v="27"/>
    <x v="10"/>
    <x v="187"/>
    <x v="120"/>
    <x v="51"/>
    <x v="60"/>
    <x v="121"/>
    <x v="76"/>
    <x v="3"/>
  </r>
  <r>
    <x v="0"/>
    <x v="20"/>
    <x v="20"/>
    <x v="18"/>
    <x v="18"/>
    <x v="18"/>
    <x v="12"/>
    <x v="188"/>
    <x v="261"/>
    <x v="54"/>
    <x v="14"/>
    <x v="125"/>
    <x v="220"/>
    <x v="3"/>
  </r>
  <r>
    <x v="0"/>
    <x v="20"/>
    <x v="20"/>
    <x v="34"/>
    <x v="34"/>
    <x v="34"/>
    <x v="12"/>
    <x v="188"/>
    <x v="261"/>
    <x v="54"/>
    <x v="14"/>
    <x v="125"/>
    <x v="220"/>
    <x v="3"/>
  </r>
  <r>
    <x v="0"/>
    <x v="20"/>
    <x v="20"/>
    <x v="35"/>
    <x v="35"/>
    <x v="35"/>
    <x v="12"/>
    <x v="188"/>
    <x v="261"/>
    <x v="89"/>
    <x v="216"/>
    <x v="120"/>
    <x v="275"/>
    <x v="3"/>
  </r>
  <r>
    <x v="0"/>
    <x v="20"/>
    <x v="20"/>
    <x v="36"/>
    <x v="36"/>
    <x v="36"/>
    <x v="12"/>
    <x v="188"/>
    <x v="261"/>
    <x v="79"/>
    <x v="88"/>
    <x v="119"/>
    <x v="163"/>
    <x v="3"/>
  </r>
  <r>
    <x v="0"/>
    <x v="20"/>
    <x v="20"/>
    <x v="13"/>
    <x v="13"/>
    <x v="13"/>
    <x v="12"/>
    <x v="188"/>
    <x v="261"/>
    <x v="128"/>
    <x v="288"/>
    <x v="121"/>
    <x v="76"/>
    <x v="3"/>
  </r>
  <r>
    <x v="0"/>
    <x v="20"/>
    <x v="20"/>
    <x v="9"/>
    <x v="9"/>
    <x v="9"/>
    <x v="12"/>
    <x v="188"/>
    <x v="261"/>
    <x v="54"/>
    <x v="14"/>
    <x v="125"/>
    <x v="220"/>
    <x v="3"/>
  </r>
  <r>
    <x v="0"/>
    <x v="20"/>
    <x v="20"/>
    <x v="10"/>
    <x v="10"/>
    <x v="10"/>
    <x v="18"/>
    <x v="189"/>
    <x v="136"/>
    <x v="51"/>
    <x v="60"/>
    <x v="125"/>
    <x v="220"/>
    <x v="3"/>
  </r>
  <r>
    <x v="0"/>
    <x v="20"/>
    <x v="20"/>
    <x v="37"/>
    <x v="37"/>
    <x v="37"/>
    <x v="19"/>
    <x v="190"/>
    <x v="283"/>
    <x v="89"/>
    <x v="216"/>
    <x v="126"/>
    <x v="276"/>
    <x v="3"/>
  </r>
  <r>
    <x v="0"/>
    <x v="20"/>
    <x v="20"/>
    <x v="28"/>
    <x v="28"/>
    <x v="28"/>
    <x v="19"/>
    <x v="190"/>
    <x v="283"/>
    <x v="79"/>
    <x v="88"/>
    <x v="121"/>
    <x v="76"/>
    <x v="3"/>
  </r>
  <r>
    <x v="0"/>
    <x v="20"/>
    <x v="20"/>
    <x v="38"/>
    <x v="38"/>
    <x v="38"/>
    <x v="19"/>
    <x v="190"/>
    <x v="283"/>
    <x v="79"/>
    <x v="88"/>
    <x v="126"/>
    <x v="276"/>
    <x v="3"/>
  </r>
  <r>
    <x v="0"/>
    <x v="20"/>
    <x v="20"/>
    <x v="39"/>
    <x v="39"/>
    <x v="39"/>
    <x v="19"/>
    <x v="190"/>
    <x v="283"/>
    <x v="79"/>
    <x v="88"/>
    <x v="126"/>
    <x v="276"/>
    <x v="3"/>
  </r>
  <r>
    <x v="0"/>
    <x v="20"/>
    <x v="20"/>
    <x v="40"/>
    <x v="40"/>
    <x v="40"/>
    <x v="19"/>
    <x v="190"/>
    <x v="283"/>
    <x v="89"/>
    <x v="216"/>
    <x v="126"/>
    <x v="276"/>
    <x v="3"/>
  </r>
  <r>
    <x v="0"/>
    <x v="20"/>
    <x v="20"/>
    <x v="12"/>
    <x v="12"/>
    <x v="12"/>
    <x v="19"/>
    <x v="190"/>
    <x v="283"/>
    <x v="128"/>
    <x v="288"/>
    <x v="125"/>
    <x v="220"/>
    <x v="3"/>
  </r>
  <r>
    <x v="0"/>
    <x v="20"/>
    <x v="20"/>
    <x v="4"/>
    <x v="4"/>
    <x v="4"/>
    <x v="19"/>
    <x v="190"/>
    <x v="283"/>
    <x v="128"/>
    <x v="288"/>
    <x v="125"/>
    <x v="220"/>
    <x v="3"/>
  </r>
  <r>
    <x v="0"/>
    <x v="20"/>
    <x v="20"/>
    <x v="32"/>
    <x v="32"/>
    <x v="32"/>
    <x v="19"/>
    <x v="190"/>
    <x v="283"/>
    <x v="89"/>
    <x v="216"/>
    <x v="126"/>
    <x v="276"/>
    <x v="3"/>
  </r>
  <r>
    <x v="0"/>
    <x v="20"/>
    <x v="20"/>
    <x v="22"/>
    <x v="22"/>
    <x v="22"/>
    <x v="19"/>
    <x v="190"/>
    <x v="283"/>
    <x v="128"/>
    <x v="288"/>
    <x v="125"/>
    <x v="220"/>
    <x v="3"/>
  </r>
  <r>
    <x v="0"/>
    <x v="20"/>
    <x v="20"/>
    <x v="16"/>
    <x v="16"/>
    <x v="16"/>
    <x v="19"/>
    <x v="190"/>
    <x v="283"/>
    <x v="79"/>
    <x v="88"/>
    <x v="121"/>
    <x v="76"/>
    <x v="3"/>
  </r>
  <r>
    <x v="0"/>
    <x v="21"/>
    <x v="21"/>
    <x v="3"/>
    <x v="3"/>
    <x v="3"/>
    <x v="0"/>
    <x v="150"/>
    <x v="284"/>
    <x v="37"/>
    <x v="289"/>
    <x v="114"/>
    <x v="277"/>
    <x v="3"/>
  </r>
  <r>
    <x v="0"/>
    <x v="21"/>
    <x v="21"/>
    <x v="0"/>
    <x v="0"/>
    <x v="0"/>
    <x v="1"/>
    <x v="183"/>
    <x v="285"/>
    <x v="66"/>
    <x v="290"/>
    <x v="125"/>
    <x v="220"/>
    <x v="3"/>
  </r>
  <r>
    <x v="0"/>
    <x v="21"/>
    <x v="21"/>
    <x v="2"/>
    <x v="2"/>
    <x v="2"/>
    <x v="2"/>
    <x v="154"/>
    <x v="286"/>
    <x v="37"/>
    <x v="289"/>
    <x v="83"/>
    <x v="278"/>
    <x v="3"/>
  </r>
  <r>
    <x v="0"/>
    <x v="21"/>
    <x v="21"/>
    <x v="5"/>
    <x v="5"/>
    <x v="5"/>
    <x v="3"/>
    <x v="155"/>
    <x v="287"/>
    <x v="91"/>
    <x v="291"/>
    <x v="120"/>
    <x v="279"/>
    <x v="3"/>
  </r>
  <r>
    <x v="0"/>
    <x v="21"/>
    <x v="21"/>
    <x v="11"/>
    <x v="11"/>
    <x v="11"/>
    <x v="4"/>
    <x v="184"/>
    <x v="288"/>
    <x v="108"/>
    <x v="180"/>
    <x v="125"/>
    <x v="220"/>
    <x v="3"/>
  </r>
  <r>
    <x v="0"/>
    <x v="21"/>
    <x v="21"/>
    <x v="14"/>
    <x v="14"/>
    <x v="14"/>
    <x v="5"/>
    <x v="187"/>
    <x v="289"/>
    <x v="128"/>
    <x v="292"/>
    <x v="120"/>
    <x v="279"/>
    <x v="3"/>
  </r>
  <r>
    <x v="0"/>
    <x v="21"/>
    <x v="21"/>
    <x v="6"/>
    <x v="6"/>
    <x v="6"/>
    <x v="6"/>
    <x v="188"/>
    <x v="116"/>
    <x v="79"/>
    <x v="88"/>
    <x v="119"/>
    <x v="280"/>
    <x v="3"/>
  </r>
  <r>
    <x v="0"/>
    <x v="21"/>
    <x v="21"/>
    <x v="4"/>
    <x v="4"/>
    <x v="4"/>
    <x v="6"/>
    <x v="188"/>
    <x v="116"/>
    <x v="51"/>
    <x v="293"/>
    <x v="126"/>
    <x v="281"/>
    <x v="3"/>
  </r>
  <r>
    <x v="0"/>
    <x v="21"/>
    <x v="21"/>
    <x v="1"/>
    <x v="1"/>
    <x v="1"/>
    <x v="6"/>
    <x v="188"/>
    <x v="116"/>
    <x v="54"/>
    <x v="294"/>
    <x v="125"/>
    <x v="220"/>
    <x v="3"/>
  </r>
  <r>
    <x v="0"/>
    <x v="21"/>
    <x v="21"/>
    <x v="7"/>
    <x v="7"/>
    <x v="7"/>
    <x v="9"/>
    <x v="189"/>
    <x v="32"/>
    <x v="89"/>
    <x v="295"/>
    <x v="121"/>
    <x v="282"/>
    <x v="3"/>
  </r>
  <r>
    <x v="0"/>
    <x v="21"/>
    <x v="21"/>
    <x v="8"/>
    <x v="8"/>
    <x v="8"/>
    <x v="10"/>
    <x v="190"/>
    <x v="72"/>
    <x v="128"/>
    <x v="292"/>
    <x v="125"/>
    <x v="220"/>
    <x v="3"/>
  </r>
  <r>
    <x v="0"/>
    <x v="21"/>
    <x v="21"/>
    <x v="18"/>
    <x v="18"/>
    <x v="18"/>
    <x v="10"/>
    <x v="190"/>
    <x v="72"/>
    <x v="89"/>
    <x v="295"/>
    <x v="126"/>
    <x v="281"/>
    <x v="3"/>
  </r>
  <r>
    <x v="0"/>
    <x v="21"/>
    <x v="21"/>
    <x v="19"/>
    <x v="19"/>
    <x v="19"/>
    <x v="10"/>
    <x v="190"/>
    <x v="72"/>
    <x v="79"/>
    <x v="88"/>
    <x v="121"/>
    <x v="282"/>
    <x v="3"/>
  </r>
  <r>
    <x v="0"/>
    <x v="21"/>
    <x v="21"/>
    <x v="24"/>
    <x v="24"/>
    <x v="24"/>
    <x v="10"/>
    <x v="190"/>
    <x v="72"/>
    <x v="89"/>
    <x v="295"/>
    <x v="126"/>
    <x v="281"/>
    <x v="3"/>
  </r>
  <r>
    <x v="0"/>
    <x v="21"/>
    <x v="21"/>
    <x v="10"/>
    <x v="10"/>
    <x v="10"/>
    <x v="10"/>
    <x v="190"/>
    <x v="72"/>
    <x v="128"/>
    <x v="292"/>
    <x v="125"/>
    <x v="220"/>
    <x v="3"/>
  </r>
  <r>
    <x v="0"/>
    <x v="21"/>
    <x v="21"/>
    <x v="9"/>
    <x v="9"/>
    <x v="9"/>
    <x v="10"/>
    <x v="190"/>
    <x v="72"/>
    <x v="128"/>
    <x v="292"/>
    <x v="125"/>
    <x v="220"/>
    <x v="3"/>
  </r>
  <r>
    <x v="0"/>
    <x v="21"/>
    <x v="21"/>
    <x v="21"/>
    <x v="21"/>
    <x v="21"/>
    <x v="10"/>
    <x v="190"/>
    <x v="72"/>
    <x v="79"/>
    <x v="88"/>
    <x v="126"/>
    <x v="281"/>
    <x v="3"/>
  </r>
  <r>
    <x v="0"/>
    <x v="21"/>
    <x v="21"/>
    <x v="41"/>
    <x v="41"/>
    <x v="41"/>
    <x v="17"/>
    <x v="191"/>
    <x v="290"/>
    <x v="79"/>
    <x v="88"/>
    <x v="126"/>
    <x v="281"/>
    <x v="3"/>
  </r>
  <r>
    <x v="0"/>
    <x v="21"/>
    <x v="21"/>
    <x v="36"/>
    <x v="36"/>
    <x v="36"/>
    <x v="17"/>
    <x v="191"/>
    <x v="290"/>
    <x v="79"/>
    <x v="88"/>
    <x v="126"/>
    <x v="281"/>
    <x v="3"/>
  </r>
  <r>
    <x v="0"/>
    <x v="21"/>
    <x v="21"/>
    <x v="28"/>
    <x v="28"/>
    <x v="28"/>
    <x v="17"/>
    <x v="191"/>
    <x v="290"/>
    <x v="79"/>
    <x v="88"/>
    <x v="126"/>
    <x v="281"/>
    <x v="3"/>
  </r>
  <r>
    <x v="0"/>
    <x v="21"/>
    <x v="21"/>
    <x v="38"/>
    <x v="38"/>
    <x v="38"/>
    <x v="17"/>
    <x v="191"/>
    <x v="290"/>
    <x v="79"/>
    <x v="88"/>
    <x v="126"/>
    <x v="281"/>
    <x v="3"/>
  </r>
  <r>
    <x v="0"/>
    <x v="21"/>
    <x v="21"/>
    <x v="39"/>
    <x v="39"/>
    <x v="39"/>
    <x v="17"/>
    <x v="191"/>
    <x v="290"/>
    <x v="79"/>
    <x v="88"/>
    <x v="125"/>
    <x v="220"/>
    <x v="3"/>
  </r>
  <r>
    <x v="0"/>
    <x v="21"/>
    <x v="21"/>
    <x v="42"/>
    <x v="42"/>
    <x v="42"/>
    <x v="17"/>
    <x v="191"/>
    <x v="290"/>
    <x v="79"/>
    <x v="88"/>
    <x v="126"/>
    <x v="281"/>
    <x v="3"/>
  </r>
  <r>
    <x v="0"/>
    <x v="21"/>
    <x v="21"/>
    <x v="40"/>
    <x v="40"/>
    <x v="40"/>
    <x v="17"/>
    <x v="191"/>
    <x v="290"/>
    <x v="79"/>
    <x v="88"/>
    <x v="126"/>
    <x v="281"/>
    <x v="3"/>
  </r>
  <r>
    <x v="0"/>
    <x v="21"/>
    <x v="21"/>
    <x v="20"/>
    <x v="20"/>
    <x v="20"/>
    <x v="17"/>
    <x v="191"/>
    <x v="290"/>
    <x v="89"/>
    <x v="295"/>
    <x v="125"/>
    <x v="220"/>
    <x v="3"/>
  </r>
  <r>
    <x v="0"/>
    <x v="21"/>
    <x v="21"/>
    <x v="15"/>
    <x v="15"/>
    <x v="15"/>
    <x v="17"/>
    <x v="191"/>
    <x v="290"/>
    <x v="79"/>
    <x v="88"/>
    <x v="126"/>
    <x v="281"/>
    <x v="3"/>
  </r>
  <r>
    <x v="0"/>
    <x v="21"/>
    <x v="21"/>
    <x v="43"/>
    <x v="43"/>
    <x v="43"/>
    <x v="17"/>
    <x v="191"/>
    <x v="290"/>
    <x v="79"/>
    <x v="88"/>
    <x v="126"/>
    <x v="281"/>
    <x v="3"/>
  </r>
  <r>
    <x v="0"/>
    <x v="21"/>
    <x v="21"/>
    <x v="13"/>
    <x v="13"/>
    <x v="13"/>
    <x v="17"/>
    <x v="191"/>
    <x v="290"/>
    <x v="79"/>
    <x v="88"/>
    <x v="126"/>
    <x v="281"/>
    <x v="3"/>
  </r>
  <r>
    <x v="0"/>
    <x v="21"/>
    <x v="21"/>
    <x v="44"/>
    <x v="44"/>
    <x v="44"/>
    <x v="17"/>
    <x v="191"/>
    <x v="290"/>
    <x v="79"/>
    <x v="88"/>
    <x v="126"/>
    <x v="281"/>
    <x v="3"/>
  </r>
  <r>
    <x v="0"/>
    <x v="22"/>
    <x v="22"/>
    <x v="2"/>
    <x v="2"/>
    <x v="2"/>
    <x v="0"/>
    <x v="93"/>
    <x v="291"/>
    <x v="115"/>
    <x v="296"/>
    <x v="86"/>
    <x v="283"/>
    <x v="3"/>
  </r>
  <r>
    <x v="0"/>
    <x v="22"/>
    <x v="22"/>
    <x v="3"/>
    <x v="3"/>
    <x v="3"/>
    <x v="1"/>
    <x v="137"/>
    <x v="292"/>
    <x v="91"/>
    <x v="127"/>
    <x v="116"/>
    <x v="284"/>
    <x v="3"/>
  </r>
  <r>
    <x v="0"/>
    <x v="22"/>
    <x v="22"/>
    <x v="5"/>
    <x v="5"/>
    <x v="5"/>
    <x v="1"/>
    <x v="137"/>
    <x v="292"/>
    <x v="115"/>
    <x v="296"/>
    <x v="113"/>
    <x v="285"/>
    <x v="0"/>
  </r>
  <r>
    <x v="0"/>
    <x v="22"/>
    <x v="22"/>
    <x v="6"/>
    <x v="6"/>
    <x v="6"/>
    <x v="3"/>
    <x v="153"/>
    <x v="293"/>
    <x v="35"/>
    <x v="297"/>
    <x v="120"/>
    <x v="186"/>
    <x v="3"/>
  </r>
  <r>
    <x v="0"/>
    <x v="22"/>
    <x v="22"/>
    <x v="0"/>
    <x v="0"/>
    <x v="0"/>
    <x v="4"/>
    <x v="140"/>
    <x v="128"/>
    <x v="48"/>
    <x v="298"/>
    <x v="126"/>
    <x v="286"/>
    <x v="3"/>
  </r>
  <r>
    <x v="0"/>
    <x v="22"/>
    <x v="22"/>
    <x v="1"/>
    <x v="1"/>
    <x v="1"/>
    <x v="5"/>
    <x v="183"/>
    <x v="294"/>
    <x v="98"/>
    <x v="299"/>
    <x v="126"/>
    <x v="286"/>
    <x v="3"/>
  </r>
  <r>
    <x v="0"/>
    <x v="22"/>
    <x v="22"/>
    <x v="7"/>
    <x v="7"/>
    <x v="7"/>
    <x v="6"/>
    <x v="154"/>
    <x v="64"/>
    <x v="98"/>
    <x v="299"/>
    <x v="125"/>
    <x v="220"/>
    <x v="3"/>
  </r>
  <r>
    <x v="0"/>
    <x v="22"/>
    <x v="22"/>
    <x v="11"/>
    <x v="11"/>
    <x v="11"/>
    <x v="7"/>
    <x v="156"/>
    <x v="295"/>
    <x v="108"/>
    <x v="300"/>
    <x v="126"/>
    <x v="286"/>
    <x v="3"/>
  </r>
  <r>
    <x v="0"/>
    <x v="22"/>
    <x v="22"/>
    <x v="18"/>
    <x v="18"/>
    <x v="18"/>
    <x v="8"/>
    <x v="184"/>
    <x v="296"/>
    <x v="91"/>
    <x v="127"/>
    <x v="126"/>
    <x v="286"/>
    <x v="3"/>
  </r>
  <r>
    <x v="0"/>
    <x v="22"/>
    <x v="22"/>
    <x v="36"/>
    <x v="36"/>
    <x v="36"/>
    <x v="9"/>
    <x v="185"/>
    <x v="33"/>
    <x v="51"/>
    <x v="301"/>
    <x v="119"/>
    <x v="287"/>
    <x v="3"/>
  </r>
  <r>
    <x v="0"/>
    <x v="22"/>
    <x v="22"/>
    <x v="8"/>
    <x v="8"/>
    <x v="8"/>
    <x v="10"/>
    <x v="186"/>
    <x v="297"/>
    <x v="128"/>
    <x v="302"/>
    <x v="119"/>
    <x v="287"/>
    <x v="3"/>
  </r>
  <r>
    <x v="0"/>
    <x v="22"/>
    <x v="22"/>
    <x v="45"/>
    <x v="45"/>
    <x v="45"/>
    <x v="10"/>
    <x v="186"/>
    <x v="297"/>
    <x v="79"/>
    <x v="88"/>
    <x v="83"/>
    <x v="288"/>
    <x v="3"/>
  </r>
  <r>
    <x v="0"/>
    <x v="22"/>
    <x v="22"/>
    <x v="25"/>
    <x v="25"/>
    <x v="25"/>
    <x v="10"/>
    <x v="186"/>
    <x v="297"/>
    <x v="128"/>
    <x v="302"/>
    <x v="119"/>
    <x v="287"/>
    <x v="3"/>
  </r>
  <r>
    <x v="0"/>
    <x v="22"/>
    <x v="22"/>
    <x v="14"/>
    <x v="14"/>
    <x v="14"/>
    <x v="10"/>
    <x v="186"/>
    <x v="297"/>
    <x v="37"/>
    <x v="303"/>
    <x v="126"/>
    <x v="286"/>
    <x v="3"/>
  </r>
  <r>
    <x v="0"/>
    <x v="22"/>
    <x v="22"/>
    <x v="28"/>
    <x v="28"/>
    <x v="28"/>
    <x v="14"/>
    <x v="187"/>
    <x v="133"/>
    <x v="51"/>
    <x v="301"/>
    <x v="121"/>
    <x v="289"/>
    <x v="3"/>
  </r>
  <r>
    <x v="0"/>
    <x v="22"/>
    <x v="22"/>
    <x v="9"/>
    <x v="9"/>
    <x v="9"/>
    <x v="14"/>
    <x v="187"/>
    <x v="133"/>
    <x v="54"/>
    <x v="304"/>
    <x v="125"/>
    <x v="220"/>
    <x v="3"/>
  </r>
  <r>
    <x v="0"/>
    <x v="22"/>
    <x v="22"/>
    <x v="12"/>
    <x v="12"/>
    <x v="12"/>
    <x v="16"/>
    <x v="188"/>
    <x v="223"/>
    <x v="128"/>
    <x v="302"/>
    <x v="121"/>
    <x v="289"/>
    <x v="3"/>
  </r>
  <r>
    <x v="0"/>
    <x v="22"/>
    <x v="22"/>
    <x v="4"/>
    <x v="4"/>
    <x v="4"/>
    <x v="16"/>
    <x v="188"/>
    <x v="223"/>
    <x v="51"/>
    <x v="301"/>
    <x v="126"/>
    <x v="286"/>
    <x v="3"/>
  </r>
  <r>
    <x v="0"/>
    <x v="22"/>
    <x v="22"/>
    <x v="22"/>
    <x v="22"/>
    <x v="22"/>
    <x v="16"/>
    <x v="188"/>
    <x v="223"/>
    <x v="128"/>
    <x v="302"/>
    <x v="121"/>
    <x v="289"/>
    <x v="3"/>
  </r>
  <r>
    <x v="0"/>
    <x v="22"/>
    <x v="22"/>
    <x v="35"/>
    <x v="35"/>
    <x v="35"/>
    <x v="19"/>
    <x v="189"/>
    <x v="137"/>
    <x v="79"/>
    <x v="88"/>
    <x v="120"/>
    <x v="186"/>
    <x v="3"/>
  </r>
  <r>
    <x v="0"/>
    <x v="22"/>
    <x v="22"/>
    <x v="38"/>
    <x v="38"/>
    <x v="38"/>
    <x v="19"/>
    <x v="189"/>
    <x v="137"/>
    <x v="79"/>
    <x v="88"/>
    <x v="120"/>
    <x v="186"/>
    <x v="3"/>
  </r>
  <r>
    <x v="0"/>
    <x v="22"/>
    <x v="22"/>
    <x v="20"/>
    <x v="20"/>
    <x v="20"/>
    <x v="19"/>
    <x v="189"/>
    <x v="137"/>
    <x v="79"/>
    <x v="88"/>
    <x v="120"/>
    <x v="186"/>
    <x v="3"/>
  </r>
  <r>
    <x v="0"/>
    <x v="22"/>
    <x v="22"/>
    <x v="13"/>
    <x v="13"/>
    <x v="13"/>
    <x v="19"/>
    <x v="189"/>
    <x v="137"/>
    <x v="89"/>
    <x v="15"/>
    <x v="121"/>
    <x v="289"/>
    <x v="3"/>
  </r>
  <r>
    <x v="0"/>
    <x v="22"/>
    <x v="22"/>
    <x v="46"/>
    <x v="46"/>
    <x v="46"/>
    <x v="19"/>
    <x v="189"/>
    <x v="137"/>
    <x v="79"/>
    <x v="88"/>
    <x v="121"/>
    <x v="289"/>
    <x v="0"/>
  </r>
  <r>
    <x v="0"/>
    <x v="23"/>
    <x v="23"/>
    <x v="0"/>
    <x v="0"/>
    <x v="0"/>
    <x v="0"/>
    <x v="91"/>
    <x v="201"/>
    <x v="68"/>
    <x v="305"/>
    <x v="121"/>
    <x v="97"/>
    <x v="3"/>
  </r>
  <r>
    <x v="0"/>
    <x v="23"/>
    <x v="23"/>
    <x v="2"/>
    <x v="2"/>
    <x v="2"/>
    <x v="1"/>
    <x v="147"/>
    <x v="77"/>
    <x v="48"/>
    <x v="306"/>
    <x v="114"/>
    <x v="290"/>
    <x v="3"/>
  </r>
  <r>
    <x v="0"/>
    <x v="23"/>
    <x v="23"/>
    <x v="3"/>
    <x v="3"/>
    <x v="3"/>
    <x v="2"/>
    <x v="137"/>
    <x v="298"/>
    <x v="91"/>
    <x v="307"/>
    <x v="116"/>
    <x v="291"/>
    <x v="3"/>
  </r>
  <r>
    <x v="0"/>
    <x v="23"/>
    <x v="23"/>
    <x v="5"/>
    <x v="5"/>
    <x v="5"/>
    <x v="2"/>
    <x v="137"/>
    <x v="298"/>
    <x v="38"/>
    <x v="308"/>
    <x v="119"/>
    <x v="292"/>
    <x v="3"/>
  </r>
  <r>
    <x v="0"/>
    <x v="23"/>
    <x v="23"/>
    <x v="8"/>
    <x v="8"/>
    <x v="8"/>
    <x v="4"/>
    <x v="139"/>
    <x v="299"/>
    <x v="37"/>
    <x v="309"/>
    <x v="124"/>
    <x v="293"/>
    <x v="3"/>
  </r>
  <r>
    <x v="0"/>
    <x v="23"/>
    <x v="23"/>
    <x v="1"/>
    <x v="1"/>
    <x v="1"/>
    <x v="4"/>
    <x v="139"/>
    <x v="299"/>
    <x v="111"/>
    <x v="310"/>
    <x v="126"/>
    <x v="38"/>
    <x v="3"/>
  </r>
  <r>
    <x v="0"/>
    <x v="23"/>
    <x v="23"/>
    <x v="6"/>
    <x v="6"/>
    <x v="6"/>
    <x v="6"/>
    <x v="141"/>
    <x v="300"/>
    <x v="37"/>
    <x v="309"/>
    <x v="94"/>
    <x v="294"/>
    <x v="3"/>
  </r>
  <r>
    <x v="0"/>
    <x v="23"/>
    <x v="23"/>
    <x v="7"/>
    <x v="7"/>
    <x v="7"/>
    <x v="6"/>
    <x v="141"/>
    <x v="300"/>
    <x v="16"/>
    <x v="311"/>
    <x v="113"/>
    <x v="148"/>
    <x v="3"/>
  </r>
  <r>
    <x v="0"/>
    <x v="23"/>
    <x v="23"/>
    <x v="4"/>
    <x v="4"/>
    <x v="4"/>
    <x v="8"/>
    <x v="150"/>
    <x v="301"/>
    <x v="98"/>
    <x v="312"/>
    <x v="121"/>
    <x v="97"/>
    <x v="3"/>
  </r>
  <r>
    <x v="0"/>
    <x v="23"/>
    <x v="23"/>
    <x v="9"/>
    <x v="9"/>
    <x v="9"/>
    <x v="9"/>
    <x v="155"/>
    <x v="29"/>
    <x v="91"/>
    <x v="307"/>
    <x v="121"/>
    <x v="97"/>
    <x v="3"/>
  </r>
  <r>
    <x v="0"/>
    <x v="23"/>
    <x v="23"/>
    <x v="15"/>
    <x v="15"/>
    <x v="15"/>
    <x v="10"/>
    <x v="184"/>
    <x v="302"/>
    <x v="37"/>
    <x v="309"/>
    <x v="120"/>
    <x v="102"/>
    <x v="3"/>
  </r>
  <r>
    <x v="0"/>
    <x v="23"/>
    <x v="23"/>
    <x v="28"/>
    <x v="28"/>
    <x v="28"/>
    <x v="11"/>
    <x v="185"/>
    <x v="303"/>
    <x v="89"/>
    <x v="250"/>
    <x v="83"/>
    <x v="295"/>
    <x v="3"/>
  </r>
  <r>
    <x v="0"/>
    <x v="23"/>
    <x v="23"/>
    <x v="25"/>
    <x v="25"/>
    <x v="25"/>
    <x v="11"/>
    <x v="185"/>
    <x v="303"/>
    <x v="89"/>
    <x v="250"/>
    <x v="83"/>
    <x v="295"/>
    <x v="3"/>
  </r>
  <r>
    <x v="0"/>
    <x v="23"/>
    <x v="23"/>
    <x v="11"/>
    <x v="11"/>
    <x v="11"/>
    <x v="11"/>
    <x v="185"/>
    <x v="303"/>
    <x v="91"/>
    <x v="307"/>
    <x v="125"/>
    <x v="220"/>
    <x v="3"/>
  </r>
  <r>
    <x v="0"/>
    <x v="23"/>
    <x v="23"/>
    <x v="31"/>
    <x v="31"/>
    <x v="31"/>
    <x v="14"/>
    <x v="187"/>
    <x v="244"/>
    <x v="128"/>
    <x v="49"/>
    <x v="120"/>
    <x v="102"/>
    <x v="3"/>
  </r>
  <r>
    <x v="0"/>
    <x v="23"/>
    <x v="23"/>
    <x v="16"/>
    <x v="16"/>
    <x v="16"/>
    <x v="14"/>
    <x v="187"/>
    <x v="244"/>
    <x v="79"/>
    <x v="88"/>
    <x v="126"/>
    <x v="38"/>
    <x v="3"/>
  </r>
  <r>
    <x v="0"/>
    <x v="23"/>
    <x v="23"/>
    <x v="18"/>
    <x v="18"/>
    <x v="18"/>
    <x v="16"/>
    <x v="188"/>
    <x v="17"/>
    <x v="89"/>
    <x v="250"/>
    <x v="120"/>
    <x v="102"/>
    <x v="3"/>
  </r>
  <r>
    <x v="0"/>
    <x v="23"/>
    <x v="23"/>
    <x v="38"/>
    <x v="38"/>
    <x v="38"/>
    <x v="16"/>
    <x v="188"/>
    <x v="17"/>
    <x v="79"/>
    <x v="88"/>
    <x v="119"/>
    <x v="292"/>
    <x v="3"/>
  </r>
  <r>
    <x v="0"/>
    <x v="23"/>
    <x v="23"/>
    <x v="17"/>
    <x v="17"/>
    <x v="17"/>
    <x v="16"/>
    <x v="188"/>
    <x v="17"/>
    <x v="79"/>
    <x v="88"/>
    <x v="119"/>
    <x v="292"/>
    <x v="3"/>
  </r>
  <r>
    <x v="0"/>
    <x v="23"/>
    <x v="23"/>
    <x v="20"/>
    <x v="20"/>
    <x v="20"/>
    <x v="16"/>
    <x v="188"/>
    <x v="17"/>
    <x v="128"/>
    <x v="49"/>
    <x v="121"/>
    <x v="97"/>
    <x v="3"/>
  </r>
  <r>
    <x v="0"/>
    <x v="23"/>
    <x v="23"/>
    <x v="12"/>
    <x v="12"/>
    <x v="12"/>
    <x v="16"/>
    <x v="188"/>
    <x v="17"/>
    <x v="51"/>
    <x v="226"/>
    <x v="126"/>
    <x v="38"/>
    <x v="3"/>
  </r>
  <r>
    <x v="0"/>
    <x v="23"/>
    <x v="23"/>
    <x v="10"/>
    <x v="10"/>
    <x v="10"/>
    <x v="16"/>
    <x v="188"/>
    <x v="17"/>
    <x v="51"/>
    <x v="226"/>
    <x v="126"/>
    <x v="38"/>
    <x v="3"/>
  </r>
  <r>
    <x v="0"/>
    <x v="23"/>
    <x v="23"/>
    <x v="22"/>
    <x v="22"/>
    <x v="22"/>
    <x v="16"/>
    <x v="188"/>
    <x v="17"/>
    <x v="54"/>
    <x v="95"/>
    <x v="125"/>
    <x v="220"/>
    <x v="3"/>
  </r>
  <r>
    <x v="0"/>
    <x v="23"/>
    <x v="23"/>
    <x v="14"/>
    <x v="14"/>
    <x v="14"/>
    <x v="16"/>
    <x v="188"/>
    <x v="17"/>
    <x v="54"/>
    <x v="95"/>
    <x v="125"/>
    <x v="220"/>
    <x v="3"/>
  </r>
  <r>
    <x v="0"/>
    <x v="24"/>
    <x v="24"/>
    <x v="5"/>
    <x v="5"/>
    <x v="5"/>
    <x v="0"/>
    <x v="93"/>
    <x v="304"/>
    <x v="117"/>
    <x v="313"/>
    <x v="120"/>
    <x v="296"/>
    <x v="3"/>
  </r>
  <r>
    <x v="0"/>
    <x v="24"/>
    <x v="24"/>
    <x v="3"/>
    <x v="3"/>
    <x v="3"/>
    <x v="1"/>
    <x v="152"/>
    <x v="305"/>
    <x v="48"/>
    <x v="314"/>
    <x v="111"/>
    <x v="297"/>
    <x v="3"/>
  </r>
  <r>
    <x v="0"/>
    <x v="24"/>
    <x v="24"/>
    <x v="2"/>
    <x v="2"/>
    <x v="2"/>
    <x v="2"/>
    <x v="147"/>
    <x v="306"/>
    <x v="98"/>
    <x v="315"/>
    <x v="86"/>
    <x v="298"/>
    <x v="3"/>
  </r>
  <r>
    <x v="0"/>
    <x v="24"/>
    <x v="24"/>
    <x v="14"/>
    <x v="14"/>
    <x v="14"/>
    <x v="3"/>
    <x v="149"/>
    <x v="307"/>
    <x v="38"/>
    <x v="316"/>
    <x v="121"/>
    <x v="299"/>
    <x v="3"/>
  </r>
  <r>
    <x v="0"/>
    <x v="24"/>
    <x v="24"/>
    <x v="0"/>
    <x v="0"/>
    <x v="0"/>
    <x v="4"/>
    <x v="138"/>
    <x v="308"/>
    <x v="121"/>
    <x v="317"/>
    <x v="125"/>
    <x v="220"/>
    <x v="3"/>
  </r>
  <r>
    <x v="0"/>
    <x v="24"/>
    <x v="24"/>
    <x v="1"/>
    <x v="1"/>
    <x v="1"/>
    <x v="5"/>
    <x v="139"/>
    <x v="309"/>
    <x v="48"/>
    <x v="314"/>
    <x v="120"/>
    <x v="296"/>
    <x v="3"/>
  </r>
  <r>
    <x v="0"/>
    <x v="24"/>
    <x v="24"/>
    <x v="8"/>
    <x v="8"/>
    <x v="8"/>
    <x v="6"/>
    <x v="150"/>
    <x v="310"/>
    <x v="16"/>
    <x v="293"/>
    <x v="119"/>
    <x v="300"/>
    <x v="3"/>
  </r>
  <r>
    <x v="0"/>
    <x v="24"/>
    <x v="24"/>
    <x v="6"/>
    <x v="6"/>
    <x v="6"/>
    <x v="7"/>
    <x v="155"/>
    <x v="311"/>
    <x v="52"/>
    <x v="292"/>
    <x v="119"/>
    <x v="300"/>
    <x v="3"/>
  </r>
  <r>
    <x v="0"/>
    <x v="24"/>
    <x v="24"/>
    <x v="7"/>
    <x v="7"/>
    <x v="7"/>
    <x v="7"/>
    <x v="155"/>
    <x v="311"/>
    <x v="91"/>
    <x v="318"/>
    <x v="120"/>
    <x v="296"/>
    <x v="3"/>
  </r>
  <r>
    <x v="0"/>
    <x v="24"/>
    <x v="24"/>
    <x v="9"/>
    <x v="9"/>
    <x v="9"/>
    <x v="7"/>
    <x v="155"/>
    <x v="311"/>
    <x v="108"/>
    <x v="319"/>
    <x v="125"/>
    <x v="220"/>
    <x v="3"/>
  </r>
  <r>
    <x v="0"/>
    <x v="24"/>
    <x v="24"/>
    <x v="18"/>
    <x v="18"/>
    <x v="18"/>
    <x v="10"/>
    <x v="186"/>
    <x v="303"/>
    <x v="37"/>
    <x v="320"/>
    <x v="126"/>
    <x v="301"/>
    <x v="3"/>
  </r>
  <r>
    <x v="0"/>
    <x v="24"/>
    <x v="24"/>
    <x v="16"/>
    <x v="16"/>
    <x v="16"/>
    <x v="10"/>
    <x v="186"/>
    <x v="303"/>
    <x v="89"/>
    <x v="250"/>
    <x v="113"/>
    <x v="302"/>
    <x v="3"/>
  </r>
  <r>
    <x v="0"/>
    <x v="24"/>
    <x v="24"/>
    <x v="4"/>
    <x v="4"/>
    <x v="4"/>
    <x v="12"/>
    <x v="187"/>
    <x v="90"/>
    <x v="51"/>
    <x v="295"/>
    <x v="121"/>
    <x v="299"/>
    <x v="3"/>
  </r>
  <r>
    <x v="0"/>
    <x v="24"/>
    <x v="24"/>
    <x v="10"/>
    <x v="10"/>
    <x v="10"/>
    <x v="12"/>
    <x v="187"/>
    <x v="90"/>
    <x v="51"/>
    <x v="295"/>
    <x v="121"/>
    <x v="299"/>
    <x v="3"/>
  </r>
  <r>
    <x v="0"/>
    <x v="24"/>
    <x v="24"/>
    <x v="11"/>
    <x v="11"/>
    <x v="11"/>
    <x v="12"/>
    <x v="187"/>
    <x v="90"/>
    <x v="37"/>
    <x v="320"/>
    <x v="125"/>
    <x v="220"/>
    <x v="3"/>
  </r>
  <r>
    <x v="0"/>
    <x v="24"/>
    <x v="24"/>
    <x v="35"/>
    <x v="35"/>
    <x v="35"/>
    <x v="15"/>
    <x v="188"/>
    <x v="134"/>
    <x v="128"/>
    <x v="166"/>
    <x v="121"/>
    <x v="299"/>
    <x v="3"/>
  </r>
  <r>
    <x v="0"/>
    <x v="24"/>
    <x v="24"/>
    <x v="27"/>
    <x v="27"/>
    <x v="27"/>
    <x v="15"/>
    <x v="188"/>
    <x v="134"/>
    <x v="128"/>
    <x v="166"/>
    <x v="121"/>
    <x v="299"/>
    <x v="3"/>
  </r>
  <r>
    <x v="0"/>
    <x v="24"/>
    <x v="24"/>
    <x v="19"/>
    <x v="19"/>
    <x v="19"/>
    <x v="17"/>
    <x v="189"/>
    <x v="312"/>
    <x v="128"/>
    <x v="166"/>
    <x v="126"/>
    <x v="301"/>
    <x v="3"/>
  </r>
  <r>
    <x v="0"/>
    <x v="24"/>
    <x v="24"/>
    <x v="17"/>
    <x v="17"/>
    <x v="17"/>
    <x v="17"/>
    <x v="189"/>
    <x v="312"/>
    <x v="79"/>
    <x v="88"/>
    <x v="120"/>
    <x v="296"/>
    <x v="3"/>
  </r>
  <r>
    <x v="0"/>
    <x v="24"/>
    <x v="24"/>
    <x v="24"/>
    <x v="24"/>
    <x v="24"/>
    <x v="17"/>
    <x v="189"/>
    <x v="312"/>
    <x v="128"/>
    <x v="166"/>
    <x v="126"/>
    <x v="301"/>
    <x v="3"/>
  </r>
  <r>
    <x v="0"/>
    <x v="24"/>
    <x v="24"/>
    <x v="13"/>
    <x v="13"/>
    <x v="13"/>
    <x v="17"/>
    <x v="189"/>
    <x v="312"/>
    <x v="128"/>
    <x v="166"/>
    <x v="126"/>
    <x v="301"/>
    <x v="3"/>
  </r>
  <r>
    <x v="0"/>
    <x v="25"/>
    <x v="25"/>
    <x v="0"/>
    <x v="0"/>
    <x v="0"/>
    <x v="0"/>
    <x v="82"/>
    <x v="313"/>
    <x v="145"/>
    <x v="321"/>
    <x v="111"/>
    <x v="303"/>
    <x v="3"/>
  </r>
  <r>
    <x v="0"/>
    <x v="25"/>
    <x v="25"/>
    <x v="1"/>
    <x v="1"/>
    <x v="1"/>
    <x v="1"/>
    <x v="161"/>
    <x v="314"/>
    <x v="113"/>
    <x v="322"/>
    <x v="72"/>
    <x v="304"/>
    <x v="3"/>
  </r>
  <r>
    <x v="0"/>
    <x v="25"/>
    <x v="25"/>
    <x v="2"/>
    <x v="2"/>
    <x v="2"/>
    <x v="2"/>
    <x v="88"/>
    <x v="315"/>
    <x v="90"/>
    <x v="323"/>
    <x v="95"/>
    <x v="305"/>
    <x v="3"/>
  </r>
  <r>
    <x v="0"/>
    <x v="25"/>
    <x v="25"/>
    <x v="3"/>
    <x v="3"/>
    <x v="3"/>
    <x v="3"/>
    <x v="163"/>
    <x v="316"/>
    <x v="128"/>
    <x v="202"/>
    <x v="93"/>
    <x v="306"/>
    <x v="3"/>
  </r>
  <r>
    <x v="0"/>
    <x v="25"/>
    <x v="25"/>
    <x v="4"/>
    <x v="4"/>
    <x v="4"/>
    <x v="4"/>
    <x v="106"/>
    <x v="317"/>
    <x v="66"/>
    <x v="324"/>
    <x v="79"/>
    <x v="307"/>
    <x v="3"/>
  </r>
  <r>
    <x v="0"/>
    <x v="25"/>
    <x v="25"/>
    <x v="5"/>
    <x v="5"/>
    <x v="5"/>
    <x v="5"/>
    <x v="91"/>
    <x v="268"/>
    <x v="88"/>
    <x v="325"/>
    <x v="111"/>
    <x v="303"/>
    <x v="3"/>
  </r>
  <r>
    <x v="0"/>
    <x v="25"/>
    <x v="25"/>
    <x v="9"/>
    <x v="9"/>
    <x v="9"/>
    <x v="6"/>
    <x v="93"/>
    <x v="318"/>
    <x v="121"/>
    <x v="326"/>
    <x v="83"/>
    <x v="28"/>
    <x v="3"/>
  </r>
  <r>
    <x v="0"/>
    <x v="25"/>
    <x v="25"/>
    <x v="7"/>
    <x v="7"/>
    <x v="7"/>
    <x v="7"/>
    <x v="137"/>
    <x v="27"/>
    <x v="48"/>
    <x v="327"/>
    <x v="117"/>
    <x v="308"/>
    <x v="3"/>
  </r>
  <r>
    <x v="0"/>
    <x v="25"/>
    <x v="25"/>
    <x v="8"/>
    <x v="8"/>
    <x v="8"/>
    <x v="8"/>
    <x v="148"/>
    <x v="8"/>
    <x v="108"/>
    <x v="328"/>
    <x v="124"/>
    <x v="143"/>
    <x v="3"/>
  </r>
  <r>
    <x v="0"/>
    <x v="25"/>
    <x v="25"/>
    <x v="6"/>
    <x v="6"/>
    <x v="6"/>
    <x v="9"/>
    <x v="153"/>
    <x v="12"/>
    <x v="52"/>
    <x v="329"/>
    <x v="111"/>
    <x v="303"/>
    <x v="3"/>
  </r>
  <r>
    <x v="0"/>
    <x v="25"/>
    <x v="25"/>
    <x v="13"/>
    <x v="13"/>
    <x v="13"/>
    <x v="9"/>
    <x v="153"/>
    <x v="12"/>
    <x v="89"/>
    <x v="203"/>
    <x v="115"/>
    <x v="153"/>
    <x v="3"/>
  </r>
  <r>
    <x v="0"/>
    <x v="25"/>
    <x v="25"/>
    <x v="10"/>
    <x v="10"/>
    <x v="10"/>
    <x v="11"/>
    <x v="140"/>
    <x v="272"/>
    <x v="16"/>
    <x v="3"/>
    <x v="83"/>
    <x v="28"/>
    <x v="3"/>
  </r>
  <r>
    <x v="0"/>
    <x v="25"/>
    <x v="25"/>
    <x v="14"/>
    <x v="14"/>
    <x v="14"/>
    <x v="12"/>
    <x v="141"/>
    <x v="319"/>
    <x v="76"/>
    <x v="330"/>
    <x v="119"/>
    <x v="140"/>
    <x v="3"/>
  </r>
  <r>
    <x v="0"/>
    <x v="25"/>
    <x v="25"/>
    <x v="11"/>
    <x v="11"/>
    <x v="11"/>
    <x v="13"/>
    <x v="183"/>
    <x v="52"/>
    <x v="98"/>
    <x v="331"/>
    <x v="126"/>
    <x v="309"/>
    <x v="3"/>
  </r>
  <r>
    <x v="0"/>
    <x v="25"/>
    <x v="25"/>
    <x v="18"/>
    <x v="18"/>
    <x v="18"/>
    <x v="14"/>
    <x v="154"/>
    <x v="109"/>
    <x v="128"/>
    <x v="202"/>
    <x v="94"/>
    <x v="168"/>
    <x v="3"/>
  </r>
  <r>
    <x v="0"/>
    <x v="25"/>
    <x v="25"/>
    <x v="40"/>
    <x v="40"/>
    <x v="40"/>
    <x v="15"/>
    <x v="155"/>
    <x v="320"/>
    <x v="128"/>
    <x v="202"/>
    <x v="114"/>
    <x v="310"/>
    <x v="3"/>
  </r>
  <r>
    <x v="0"/>
    <x v="25"/>
    <x v="25"/>
    <x v="17"/>
    <x v="17"/>
    <x v="17"/>
    <x v="15"/>
    <x v="155"/>
    <x v="320"/>
    <x v="79"/>
    <x v="88"/>
    <x v="111"/>
    <x v="303"/>
    <x v="3"/>
  </r>
  <r>
    <x v="0"/>
    <x v="25"/>
    <x v="25"/>
    <x v="12"/>
    <x v="12"/>
    <x v="12"/>
    <x v="15"/>
    <x v="155"/>
    <x v="320"/>
    <x v="128"/>
    <x v="202"/>
    <x v="117"/>
    <x v="308"/>
    <x v="0"/>
  </r>
  <r>
    <x v="0"/>
    <x v="25"/>
    <x v="25"/>
    <x v="22"/>
    <x v="22"/>
    <x v="22"/>
    <x v="15"/>
    <x v="155"/>
    <x v="320"/>
    <x v="54"/>
    <x v="149"/>
    <x v="83"/>
    <x v="28"/>
    <x v="3"/>
  </r>
  <r>
    <x v="0"/>
    <x v="25"/>
    <x v="25"/>
    <x v="25"/>
    <x v="25"/>
    <x v="25"/>
    <x v="19"/>
    <x v="156"/>
    <x v="212"/>
    <x v="128"/>
    <x v="202"/>
    <x v="117"/>
    <x v="308"/>
    <x v="3"/>
  </r>
  <r>
    <x v="0"/>
    <x v="26"/>
    <x v="26"/>
    <x v="0"/>
    <x v="0"/>
    <x v="0"/>
    <x v="0"/>
    <x v="167"/>
    <x v="233"/>
    <x v="146"/>
    <x v="332"/>
    <x v="128"/>
    <x v="311"/>
    <x v="3"/>
  </r>
  <r>
    <x v="0"/>
    <x v="26"/>
    <x v="26"/>
    <x v="2"/>
    <x v="2"/>
    <x v="2"/>
    <x v="1"/>
    <x v="74"/>
    <x v="321"/>
    <x v="88"/>
    <x v="112"/>
    <x v="93"/>
    <x v="312"/>
    <x v="3"/>
  </r>
  <r>
    <x v="0"/>
    <x v="26"/>
    <x v="26"/>
    <x v="1"/>
    <x v="1"/>
    <x v="1"/>
    <x v="2"/>
    <x v="76"/>
    <x v="322"/>
    <x v="77"/>
    <x v="333"/>
    <x v="115"/>
    <x v="313"/>
    <x v="3"/>
  </r>
  <r>
    <x v="0"/>
    <x v="26"/>
    <x v="26"/>
    <x v="3"/>
    <x v="3"/>
    <x v="3"/>
    <x v="3"/>
    <x v="134"/>
    <x v="323"/>
    <x v="16"/>
    <x v="334"/>
    <x v="82"/>
    <x v="314"/>
    <x v="3"/>
  </r>
  <r>
    <x v="0"/>
    <x v="26"/>
    <x v="26"/>
    <x v="6"/>
    <x v="6"/>
    <x v="6"/>
    <x v="4"/>
    <x v="87"/>
    <x v="324"/>
    <x v="35"/>
    <x v="227"/>
    <x v="49"/>
    <x v="315"/>
    <x v="3"/>
  </r>
  <r>
    <x v="0"/>
    <x v="26"/>
    <x v="26"/>
    <x v="12"/>
    <x v="12"/>
    <x v="12"/>
    <x v="5"/>
    <x v="88"/>
    <x v="325"/>
    <x v="54"/>
    <x v="272"/>
    <x v="96"/>
    <x v="316"/>
    <x v="3"/>
  </r>
  <r>
    <x v="0"/>
    <x v="26"/>
    <x v="26"/>
    <x v="8"/>
    <x v="8"/>
    <x v="8"/>
    <x v="6"/>
    <x v="106"/>
    <x v="65"/>
    <x v="52"/>
    <x v="335"/>
    <x v="128"/>
    <x v="311"/>
    <x v="3"/>
  </r>
  <r>
    <x v="0"/>
    <x v="26"/>
    <x v="26"/>
    <x v="7"/>
    <x v="7"/>
    <x v="7"/>
    <x v="7"/>
    <x v="119"/>
    <x v="326"/>
    <x v="38"/>
    <x v="336"/>
    <x v="88"/>
    <x v="189"/>
    <x v="3"/>
  </r>
  <r>
    <x v="0"/>
    <x v="26"/>
    <x v="26"/>
    <x v="9"/>
    <x v="9"/>
    <x v="9"/>
    <x v="7"/>
    <x v="119"/>
    <x v="326"/>
    <x v="117"/>
    <x v="337"/>
    <x v="94"/>
    <x v="47"/>
    <x v="3"/>
  </r>
  <r>
    <x v="0"/>
    <x v="26"/>
    <x v="26"/>
    <x v="4"/>
    <x v="4"/>
    <x v="4"/>
    <x v="9"/>
    <x v="91"/>
    <x v="327"/>
    <x v="54"/>
    <x v="272"/>
    <x v="85"/>
    <x v="317"/>
    <x v="3"/>
  </r>
  <r>
    <x v="0"/>
    <x v="26"/>
    <x v="26"/>
    <x v="11"/>
    <x v="11"/>
    <x v="11"/>
    <x v="9"/>
    <x v="91"/>
    <x v="327"/>
    <x v="53"/>
    <x v="338"/>
    <x v="113"/>
    <x v="318"/>
    <x v="3"/>
  </r>
  <r>
    <x v="0"/>
    <x v="26"/>
    <x v="26"/>
    <x v="5"/>
    <x v="5"/>
    <x v="5"/>
    <x v="11"/>
    <x v="157"/>
    <x v="81"/>
    <x v="90"/>
    <x v="66"/>
    <x v="86"/>
    <x v="319"/>
    <x v="3"/>
  </r>
  <r>
    <x v="0"/>
    <x v="26"/>
    <x v="26"/>
    <x v="10"/>
    <x v="10"/>
    <x v="10"/>
    <x v="12"/>
    <x v="152"/>
    <x v="84"/>
    <x v="48"/>
    <x v="339"/>
    <x v="111"/>
    <x v="54"/>
    <x v="3"/>
  </r>
  <r>
    <x v="0"/>
    <x v="26"/>
    <x v="26"/>
    <x v="17"/>
    <x v="17"/>
    <x v="17"/>
    <x v="13"/>
    <x v="192"/>
    <x v="33"/>
    <x v="79"/>
    <x v="88"/>
    <x v="75"/>
    <x v="219"/>
    <x v="3"/>
  </r>
  <r>
    <x v="0"/>
    <x v="26"/>
    <x v="26"/>
    <x v="13"/>
    <x v="13"/>
    <x v="13"/>
    <x v="14"/>
    <x v="138"/>
    <x v="319"/>
    <x v="52"/>
    <x v="335"/>
    <x v="124"/>
    <x v="320"/>
    <x v="3"/>
  </r>
  <r>
    <x v="0"/>
    <x v="26"/>
    <x v="26"/>
    <x v="20"/>
    <x v="20"/>
    <x v="20"/>
    <x v="15"/>
    <x v="139"/>
    <x v="107"/>
    <x v="37"/>
    <x v="340"/>
    <x v="124"/>
    <x v="320"/>
    <x v="3"/>
  </r>
  <r>
    <x v="0"/>
    <x v="26"/>
    <x v="26"/>
    <x v="15"/>
    <x v="15"/>
    <x v="15"/>
    <x v="15"/>
    <x v="139"/>
    <x v="107"/>
    <x v="37"/>
    <x v="340"/>
    <x v="124"/>
    <x v="320"/>
    <x v="3"/>
  </r>
  <r>
    <x v="0"/>
    <x v="26"/>
    <x v="26"/>
    <x v="16"/>
    <x v="16"/>
    <x v="16"/>
    <x v="15"/>
    <x v="139"/>
    <x v="107"/>
    <x v="79"/>
    <x v="88"/>
    <x v="118"/>
    <x v="160"/>
    <x v="3"/>
  </r>
  <r>
    <x v="0"/>
    <x v="26"/>
    <x v="26"/>
    <x v="14"/>
    <x v="14"/>
    <x v="14"/>
    <x v="18"/>
    <x v="153"/>
    <x v="328"/>
    <x v="66"/>
    <x v="211"/>
    <x v="119"/>
    <x v="321"/>
    <x v="3"/>
  </r>
  <r>
    <x v="0"/>
    <x v="26"/>
    <x v="26"/>
    <x v="25"/>
    <x v="25"/>
    <x v="25"/>
    <x v="19"/>
    <x v="155"/>
    <x v="199"/>
    <x v="79"/>
    <x v="88"/>
    <x v="111"/>
    <x v="54"/>
    <x v="3"/>
  </r>
  <r>
    <x v="0"/>
    <x v="26"/>
    <x v="26"/>
    <x v="22"/>
    <x v="22"/>
    <x v="22"/>
    <x v="19"/>
    <x v="155"/>
    <x v="199"/>
    <x v="51"/>
    <x v="274"/>
    <x v="117"/>
    <x v="322"/>
    <x v="3"/>
  </r>
  <r>
    <x v="0"/>
    <x v="27"/>
    <x v="27"/>
    <x v="1"/>
    <x v="1"/>
    <x v="1"/>
    <x v="0"/>
    <x v="92"/>
    <x v="329"/>
    <x v="88"/>
    <x v="341"/>
    <x v="94"/>
    <x v="278"/>
    <x v="3"/>
  </r>
  <r>
    <x v="0"/>
    <x v="27"/>
    <x v="27"/>
    <x v="5"/>
    <x v="5"/>
    <x v="5"/>
    <x v="1"/>
    <x v="149"/>
    <x v="330"/>
    <x v="66"/>
    <x v="342"/>
    <x v="117"/>
    <x v="323"/>
    <x v="3"/>
  </r>
  <r>
    <x v="0"/>
    <x v="27"/>
    <x v="27"/>
    <x v="2"/>
    <x v="2"/>
    <x v="2"/>
    <x v="2"/>
    <x v="140"/>
    <x v="331"/>
    <x v="16"/>
    <x v="343"/>
    <x v="83"/>
    <x v="280"/>
    <x v="3"/>
  </r>
  <r>
    <x v="0"/>
    <x v="27"/>
    <x v="27"/>
    <x v="32"/>
    <x v="32"/>
    <x v="32"/>
    <x v="2"/>
    <x v="140"/>
    <x v="331"/>
    <x v="91"/>
    <x v="344"/>
    <x v="114"/>
    <x v="324"/>
    <x v="3"/>
  </r>
  <r>
    <x v="0"/>
    <x v="27"/>
    <x v="27"/>
    <x v="3"/>
    <x v="3"/>
    <x v="3"/>
    <x v="4"/>
    <x v="141"/>
    <x v="332"/>
    <x v="52"/>
    <x v="345"/>
    <x v="114"/>
    <x v="324"/>
    <x v="3"/>
  </r>
  <r>
    <x v="0"/>
    <x v="27"/>
    <x v="27"/>
    <x v="6"/>
    <x v="6"/>
    <x v="6"/>
    <x v="5"/>
    <x v="154"/>
    <x v="333"/>
    <x v="16"/>
    <x v="343"/>
    <x v="121"/>
    <x v="115"/>
    <x v="3"/>
  </r>
  <r>
    <x v="0"/>
    <x v="27"/>
    <x v="27"/>
    <x v="0"/>
    <x v="0"/>
    <x v="0"/>
    <x v="5"/>
    <x v="154"/>
    <x v="333"/>
    <x v="108"/>
    <x v="346"/>
    <x v="121"/>
    <x v="115"/>
    <x v="3"/>
  </r>
  <r>
    <x v="0"/>
    <x v="27"/>
    <x v="27"/>
    <x v="35"/>
    <x v="35"/>
    <x v="35"/>
    <x v="7"/>
    <x v="187"/>
    <x v="31"/>
    <x v="128"/>
    <x v="271"/>
    <x v="120"/>
    <x v="282"/>
    <x v="3"/>
  </r>
  <r>
    <x v="0"/>
    <x v="27"/>
    <x v="27"/>
    <x v="4"/>
    <x v="4"/>
    <x v="4"/>
    <x v="7"/>
    <x v="187"/>
    <x v="31"/>
    <x v="128"/>
    <x v="271"/>
    <x v="121"/>
    <x v="115"/>
    <x v="3"/>
  </r>
  <r>
    <x v="0"/>
    <x v="27"/>
    <x v="27"/>
    <x v="8"/>
    <x v="8"/>
    <x v="8"/>
    <x v="9"/>
    <x v="188"/>
    <x v="105"/>
    <x v="51"/>
    <x v="347"/>
    <x v="126"/>
    <x v="325"/>
    <x v="3"/>
  </r>
  <r>
    <x v="0"/>
    <x v="27"/>
    <x v="27"/>
    <x v="7"/>
    <x v="7"/>
    <x v="7"/>
    <x v="9"/>
    <x v="188"/>
    <x v="105"/>
    <x v="51"/>
    <x v="347"/>
    <x v="126"/>
    <x v="325"/>
    <x v="3"/>
  </r>
  <r>
    <x v="0"/>
    <x v="27"/>
    <x v="27"/>
    <x v="14"/>
    <x v="14"/>
    <x v="14"/>
    <x v="11"/>
    <x v="189"/>
    <x v="149"/>
    <x v="51"/>
    <x v="347"/>
    <x v="125"/>
    <x v="220"/>
    <x v="3"/>
  </r>
  <r>
    <x v="0"/>
    <x v="27"/>
    <x v="27"/>
    <x v="18"/>
    <x v="18"/>
    <x v="18"/>
    <x v="12"/>
    <x v="190"/>
    <x v="152"/>
    <x v="79"/>
    <x v="88"/>
    <x v="121"/>
    <x v="115"/>
    <x v="3"/>
  </r>
  <r>
    <x v="0"/>
    <x v="27"/>
    <x v="27"/>
    <x v="39"/>
    <x v="39"/>
    <x v="39"/>
    <x v="12"/>
    <x v="190"/>
    <x v="152"/>
    <x v="79"/>
    <x v="88"/>
    <x v="125"/>
    <x v="220"/>
    <x v="3"/>
  </r>
  <r>
    <x v="0"/>
    <x v="27"/>
    <x v="27"/>
    <x v="19"/>
    <x v="19"/>
    <x v="19"/>
    <x v="12"/>
    <x v="190"/>
    <x v="152"/>
    <x v="89"/>
    <x v="177"/>
    <x v="126"/>
    <x v="325"/>
    <x v="3"/>
  </r>
  <r>
    <x v="0"/>
    <x v="27"/>
    <x v="27"/>
    <x v="12"/>
    <x v="12"/>
    <x v="12"/>
    <x v="12"/>
    <x v="190"/>
    <x v="152"/>
    <x v="89"/>
    <x v="177"/>
    <x v="126"/>
    <x v="325"/>
    <x v="3"/>
  </r>
  <r>
    <x v="0"/>
    <x v="27"/>
    <x v="27"/>
    <x v="22"/>
    <x v="22"/>
    <x v="22"/>
    <x v="12"/>
    <x v="190"/>
    <x v="152"/>
    <x v="79"/>
    <x v="88"/>
    <x v="126"/>
    <x v="325"/>
    <x v="3"/>
  </r>
  <r>
    <x v="0"/>
    <x v="27"/>
    <x v="27"/>
    <x v="44"/>
    <x v="44"/>
    <x v="44"/>
    <x v="12"/>
    <x v="190"/>
    <x v="152"/>
    <x v="79"/>
    <x v="88"/>
    <x v="121"/>
    <x v="115"/>
    <x v="3"/>
  </r>
  <r>
    <x v="0"/>
    <x v="27"/>
    <x v="27"/>
    <x v="31"/>
    <x v="31"/>
    <x v="31"/>
    <x v="18"/>
    <x v="191"/>
    <x v="334"/>
    <x v="79"/>
    <x v="88"/>
    <x v="126"/>
    <x v="325"/>
    <x v="3"/>
  </r>
  <r>
    <x v="0"/>
    <x v="27"/>
    <x v="27"/>
    <x v="37"/>
    <x v="37"/>
    <x v="37"/>
    <x v="18"/>
    <x v="191"/>
    <x v="334"/>
    <x v="79"/>
    <x v="88"/>
    <x v="126"/>
    <x v="325"/>
    <x v="3"/>
  </r>
  <r>
    <x v="0"/>
    <x v="27"/>
    <x v="27"/>
    <x v="47"/>
    <x v="47"/>
    <x v="47"/>
    <x v="18"/>
    <x v="191"/>
    <x v="334"/>
    <x v="79"/>
    <x v="88"/>
    <x v="126"/>
    <x v="325"/>
    <x v="3"/>
  </r>
  <r>
    <x v="0"/>
    <x v="27"/>
    <x v="27"/>
    <x v="36"/>
    <x v="36"/>
    <x v="36"/>
    <x v="18"/>
    <x v="191"/>
    <x v="334"/>
    <x v="79"/>
    <x v="88"/>
    <x v="126"/>
    <x v="325"/>
    <x v="3"/>
  </r>
  <r>
    <x v="0"/>
    <x v="27"/>
    <x v="27"/>
    <x v="48"/>
    <x v="48"/>
    <x v="48"/>
    <x v="18"/>
    <x v="191"/>
    <x v="334"/>
    <x v="79"/>
    <x v="88"/>
    <x v="125"/>
    <x v="220"/>
    <x v="3"/>
  </r>
  <r>
    <x v="0"/>
    <x v="27"/>
    <x v="27"/>
    <x v="49"/>
    <x v="49"/>
    <x v="49"/>
    <x v="18"/>
    <x v="191"/>
    <x v="334"/>
    <x v="79"/>
    <x v="88"/>
    <x v="126"/>
    <x v="325"/>
    <x v="3"/>
  </r>
  <r>
    <x v="0"/>
    <x v="27"/>
    <x v="27"/>
    <x v="15"/>
    <x v="15"/>
    <x v="15"/>
    <x v="18"/>
    <x v="191"/>
    <x v="334"/>
    <x v="79"/>
    <x v="88"/>
    <x v="126"/>
    <x v="325"/>
    <x v="3"/>
  </r>
  <r>
    <x v="0"/>
    <x v="27"/>
    <x v="27"/>
    <x v="43"/>
    <x v="43"/>
    <x v="43"/>
    <x v="18"/>
    <x v="191"/>
    <x v="334"/>
    <x v="79"/>
    <x v="88"/>
    <x v="126"/>
    <x v="325"/>
    <x v="3"/>
  </r>
  <r>
    <x v="0"/>
    <x v="27"/>
    <x v="27"/>
    <x v="13"/>
    <x v="13"/>
    <x v="13"/>
    <x v="18"/>
    <x v="191"/>
    <x v="334"/>
    <x v="89"/>
    <x v="177"/>
    <x v="125"/>
    <x v="220"/>
    <x v="3"/>
  </r>
  <r>
    <x v="0"/>
    <x v="27"/>
    <x v="27"/>
    <x v="26"/>
    <x v="26"/>
    <x v="26"/>
    <x v="18"/>
    <x v="191"/>
    <x v="334"/>
    <x v="89"/>
    <x v="177"/>
    <x v="125"/>
    <x v="220"/>
    <x v="3"/>
  </r>
  <r>
    <x v="0"/>
    <x v="27"/>
    <x v="27"/>
    <x v="9"/>
    <x v="9"/>
    <x v="9"/>
    <x v="18"/>
    <x v="191"/>
    <x v="334"/>
    <x v="89"/>
    <x v="177"/>
    <x v="125"/>
    <x v="220"/>
    <x v="3"/>
  </r>
  <r>
    <x v="0"/>
    <x v="27"/>
    <x v="27"/>
    <x v="11"/>
    <x v="11"/>
    <x v="11"/>
    <x v="18"/>
    <x v="191"/>
    <x v="334"/>
    <x v="89"/>
    <x v="177"/>
    <x v="125"/>
    <x v="220"/>
    <x v="3"/>
  </r>
  <r>
    <x v="0"/>
    <x v="27"/>
    <x v="27"/>
    <x v="16"/>
    <x v="16"/>
    <x v="16"/>
    <x v="18"/>
    <x v="191"/>
    <x v="334"/>
    <x v="79"/>
    <x v="88"/>
    <x v="125"/>
    <x v="220"/>
    <x v="3"/>
  </r>
  <r>
    <x v="0"/>
    <x v="27"/>
    <x v="27"/>
    <x v="46"/>
    <x v="46"/>
    <x v="46"/>
    <x v="18"/>
    <x v="191"/>
    <x v="334"/>
    <x v="79"/>
    <x v="88"/>
    <x v="125"/>
    <x v="220"/>
    <x v="3"/>
  </r>
  <r>
    <x v="0"/>
    <x v="28"/>
    <x v="28"/>
    <x v="1"/>
    <x v="1"/>
    <x v="1"/>
    <x v="0"/>
    <x v="86"/>
    <x v="335"/>
    <x v="105"/>
    <x v="251"/>
    <x v="83"/>
    <x v="326"/>
    <x v="3"/>
  </r>
  <r>
    <x v="0"/>
    <x v="28"/>
    <x v="28"/>
    <x v="2"/>
    <x v="2"/>
    <x v="2"/>
    <x v="1"/>
    <x v="93"/>
    <x v="336"/>
    <x v="35"/>
    <x v="348"/>
    <x v="100"/>
    <x v="327"/>
    <x v="3"/>
  </r>
  <r>
    <x v="0"/>
    <x v="28"/>
    <x v="28"/>
    <x v="0"/>
    <x v="0"/>
    <x v="0"/>
    <x v="1"/>
    <x v="93"/>
    <x v="336"/>
    <x v="81"/>
    <x v="349"/>
    <x v="126"/>
    <x v="328"/>
    <x v="0"/>
  </r>
  <r>
    <x v="0"/>
    <x v="28"/>
    <x v="28"/>
    <x v="3"/>
    <x v="3"/>
    <x v="3"/>
    <x v="3"/>
    <x v="158"/>
    <x v="337"/>
    <x v="98"/>
    <x v="350"/>
    <x v="116"/>
    <x v="329"/>
    <x v="3"/>
  </r>
  <r>
    <x v="0"/>
    <x v="28"/>
    <x v="28"/>
    <x v="5"/>
    <x v="5"/>
    <x v="5"/>
    <x v="4"/>
    <x v="192"/>
    <x v="338"/>
    <x v="111"/>
    <x v="351"/>
    <x v="83"/>
    <x v="326"/>
    <x v="3"/>
  </r>
  <r>
    <x v="0"/>
    <x v="28"/>
    <x v="28"/>
    <x v="4"/>
    <x v="4"/>
    <x v="4"/>
    <x v="5"/>
    <x v="138"/>
    <x v="339"/>
    <x v="66"/>
    <x v="352"/>
    <x v="83"/>
    <x v="326"/>
    <x v="3"/>
  </r>
  <r>
    <x v="0"/>
    <x v="28"/>
    <x v="28"/>
    <x v="32"/>
    <x v="32"/>
    <x v="32"/>
    <x v="6"/>
    <x v="153"/>
    <x v="340"/>
    <x v="108"/>
    <x v="353"/>
    <x v="114"/>
    <x v="330"/>
    <x v="3"/>
  </r>
  <r>
    <x v="0"/>
    <x v="28"/>
    <x v="28"/>
    <x v="6"/>
    <x v="6"/>
    <x v="6"/>
    <x v="7"/>
    <x v="141"/>
    <x v="219"/>
    <x v="76"/>
    <x v="354"/>
    <x v="119"/>
    <x v="149"/>
    <x v="3"/>
  </r>
  <r>
    <x v="0"/>
    <x v="28"/>
    <x v="28"/>
    <x v="7"/>
    <x v="7"/>
    <x v="7"/>
    <x v="8"/>
    <x v="183"/>
    <x v="240"/>
    <x v="16"/>
    <x v="319"/>
    <x v="120"/>
    <x v="262"/>
    <x v="3"/>
  </r>
  <r>
    <x v="0"/>
    <x v="28"/>
    <x v="28"/>
    <x v="8"/>
    <x v="8"/>
    <x v="8"/>
    <x v="9"/>
    <x v="155"/>
    <x v="341"/>
    <x v="108"/>
    <x v="353"/>
    <x v="121"/>
    <x v="331"/>
    <x v="3"/>
  </r>
  <r>
    <x v="0"/>
    <x v="28"/>
    <x v="28"/>
    <x v="18"/>
    <x v="18"/>
    <x v="18"/>
    <x v="10"/>
    <x v="184"/>
    <x v="258"/>
    <x v="51"/>
    <x v="340"/>
    <x v="113"/>
    <x v="332"/>
    <x v="3"/>
  </r>
  <r>
    <x v="0"/>
    <x v="28"/>
    <x v="28"/>
    <x v="35"/>
    <x v="35"/>
    <x v="35"/>
    <x v="10"/>
    <x v="184"/>
    <x v="258"/>
    <x v="54"/>
    <x v="355"/>
    <x v="119"/>
    <x v="149"/>
    <x v="3"/>
  </r>
  <r>
    <x v="0"/>
    <x v="28"/>
    <x v="28"/>
    <x v="19"/>
    <x v="19"/>
    <x v="19"/>
    <x v="10"/>
    <x v="184"/>
    <x v="258"/>
    <x v="128"/>
    <x v="356"/>
    <x v="83"/>
    <x v="326"/>
    <x v="3"/>
  </r>
  <r>
    <x v="0"/>
    <x v="28"/>
    <x v="28"/>
    <x v="37"/>
    <x v="37"/>
    <x v="37"/>
    <x v="13"/>
    <x v="186"/>
    <x v="210"/>
    <x v="51"/>
    <x v="340"/>
    <x v="120"/>
    <x v="262"/>
    <x v="3"/>
  </r>
  <r>
    <x v="0"/>
    <x v="28"/>
    <x v="28"/>
    <x v="11"/>
    <x v="11"/>
    <x v="11"/>
    <x v="13"/>
    <x v="186"/>
    <x v="210"/>
    <x v="37"/>
    <x v="357"/>
    <x v="125"/>
    <x v="220"/>
    <x v="3"/>
  </r>
  <r>
    <x v="0"/>
    <x v="28"/>
    <x v="28"/>
    <x v="22"/>
    <x v="22"/>
    <x v="22"/>
    <x v="15"/>
    <x v="187"/>
    <x v="342"/>
    <x v="128"/>
    <x v="356"/>
    <x v="120"/>
    <x v="262"/>
    <x v="3"/>
  </r>
  <r>
    <x v="0"/>
    <x v="28"/>
    <x v="28"/>
    <x v="9"/>
    <x v="9"/>
    <x v="9"/>
    <x v="16"/>
    <x v="188"/>
    <x v="19"/>
    <x v="128"/>
    <x v="356"/>
    <x v="126"/>
    <x v="328"/>
    <x v="3"/>
  </r>
  <r>
    <x v="0"/>
    <x v="28"/>
    <x v="28"/>
    <x v="40"/>
    <x v="40"/>
    <x v="40"/>
    <x v="17"/>
    <x v="189"/>
    <x v="343"/>
    <x v="89"/>
    <x v="358"/>
    <x v="121"/>
    <x v="331"/>
    <x v="3"/>
  </r>
  <r>
    <x v="0"/>
    <x v="28"/>
    <x v="28"/>
    <x v="12"/>
    <x v="12"/>
    <x v="12"/>
    <x v="17"/>
    <x v="189"/>
    <x v="343"/>
    <x v="89"/>
    <x v="358"/>
    <x v="121"/>
    <x v="331"/>
    <x v="3"/>
  </r>
  <r>
    <x v="0"/>
    <x v="28"/>
    <x v="28"/>
    <x v="10"/>
    <x v="10"/>
    <x v="10"/>
    <x v="17"/>
    <x v="189"/>
    <x v="343"/>
    <x v="51"/>
    <x v="340"/>
    <x v="125"/>
    <x v="220"/>
    <x v="3"/>
  </r>
  <r>
    <x v="0"/>
    <x v="28"/>
    <x v="28"/>
    <x v="13"/>
    <x v="13"/>
    <x v="13"/>
    <x v="17"/>
    <x v="189"/>
    <x v="343"/>
    <x v="128"/>
    <x v="356"/>
    <x v="126"/>
    <x v="328"/>
    <x v="3"/>
  </r>
  <r>
    <x v="0"/>
    <x v="28"/>
    <x v="28"/>
    <x v="14"/>
    <x v="14"/>
    <x v="14"/>
    <x v="17"/>
    <x v="189"/>
    <x v="343"/>
    <x v="128"/>
    <x v="356"/>
    <x v="126"/>
    <x v="328"/>
    <x v="3"/>
  </r>
  <r>
    <x v="0"/>
    <x v="28"/>
    <x v="28"/>
    <x v="21"/>
    <x v="21"/>
    <x v="21"/>
    <x v="17"/>
    <x v="189"/>
    <x v="343"/>
    <x v="79"/>
    <x v="88"/>
    <x v="121"/>
    <x v="331"/>
    <x v="0"/>
  </r>
  <r>
    <x v="0"/>
    <x v="29"/>
    <x v="29"/>
    <x v="5"/>
    <x v="5"/>
    <x v="5"/>
    <x v="0"/>
    <x v="186"/>
    <x v="344"/>
    <x v="52"/>
    <x v="359"/>
    <x v="125"/>
    <x v="220"/>
    <x v="3"/>
  </r>
  <r>
    <x v="0"/>
    <x v="29"/>
    <x v="29"/>
    <x v="3"/>
    <x v="3"/>
    <x v="3"/>
    <x v="1"/>
    <x v="187"/>
    <x v="345"/>
    <x v="89"/>
    <x v="360"/>
    <x v="119"/>
    <x v="333"/>
    <x v="3"/>
  </r>
  <r>
    <x v="0"/>
    <x v="29"/>
    <x v="29"/>
    <x v="2"/>
    <x v="2"/>
    <x v="2"/>
    <x v="1"/>
    <x v="187"/>
    <x v="345"/>
    <x v="51"/>
    <x v="342"/>
    <x v="121"/>
    <x v="334"/>
    <x v="3"/>
  </r>
  <r>
    <x v="0"/>
    <x v="29"/>
    <x v="29"/>
    <x v="32"/>
    <x v="32"/>
    <x v="32"/>
    <x v="1"/>
    <x v="187"/>
    <x v="345"/>
    <x v="128"/>
    <x v="346"/>
    <x v="120"/>
    <x v="335"/>
    <x v="3"/>
  </r>
  <r>
    <x v="0"/>
    <x v="29"/>
    <x v="29"/>
    <x v="16"/>
    <x v="16"/>
    <x v="16"/>
    <x v="4"/>
    <x v="188"/>
    <x v="346"/>
    <x v="79"/>
    <x v="88"/>
    <x v="120"/>
    <x v="335"/>
    <x v="3"/>
  </r>
  <r>
    <x v="0"/>
    <x v="29"/>
    <x v="29"/>
    <x v="13"/>
    <x v="13"/>
    <x v="13"/>
    <x v="5"/>
    <x v="189"/>
    <x v="347"/>
    <x v="128"/>
    <x v="346"/>
    <x v="125"/>
    <x v="220"/>
    <x v="3"/>
  </r>
  <r>
    <x v="0"/>
    <x v="29"/>
    <x v="29"/>
    <x v="1"/>
    <x v="1"/>
    <x v="1"/>
    <x v="5"/>
    <x v="189"/>
    <x v="347"/>
    <x v="51"/>
    <x v="342"/>
    <x v="125"/>
    <x v="220"/>
    <x v="3"/>
  </r>
  <r>
    <x v="0"/>
    <x v="29"/>
    <x v="29"/>
    <x v="14"/>
    <x v="14"/>
    <x v="14"/>
    <x v="5"/>
    <x v="189"/>
    <x v="347"/>
    <x v="51"/>
    <x v="342"/>
    <x v="125"/>
    <x v="220"/>
    <x v="3"/>
  </r>
  <r>
    <x v="0"/>
    <x v="29"/>
    <x v="29"/>
    <x v="18"/>
    <x v="18"/>
    <x v="18"/>
    <x v="8"/>
    <x v="190"/>
    <x v="348"/>
    <x v="89"/>
    <x v="360"/>
    <x v="126"/>
    <x v="336"/>
    <x v="3"/>
  </r>
  <r>
    <x v="0"/>
    <x v="29"/>
    <x v="29"/>
    <x v="6"/>
    <x v="6"/>
    <x v="6"/>
    <x v="9"/>
    <x v="191"/>
    <x v="163"/>
    <x v="79"/>
    <x v="88"/>
    <x v="126"/>
    <x v="336"/>
    <x v="3"/>
  </r>
  <r>
    <x v="0"/>
    <x v="29"/>
    <x v="29"/>
    <x v="34"/>
    <x v="34"/>
    <x v="34"/>
    <x v="9"/>
    <x v="191"/>
    <x v="163"/>
    <x v="79"/>
    <x v="88"/>
    <x v="126"/>
    <x v="336"/>
    <x v="3"/>
  </r>
  <r>
    <x v="0"/>
    <x v="29"/>
    <x v="29"/>
    <x v="38"/>
    <x v="38"/>
    <x v="38"/>
    <x v="9"/>
    <x v="191"/>
    <x v="163"/>
    <x v="79"/>
    <x v="88"/>
    <x v="126"/>
    <x v="336"/>
    <x v="3"/>
  </r>
  <r>
    <x v="0"/>
    <x v="29"/>
    <x v="29"/>
    <x v="50"/>
    <x v="50"/>
    <x v="50"/>
    <x v="9"/>
    <x v="191"/>
    <x v="163"/>
    <x v="79"/>
    <x v="88"/>
    <x v="126"/>
    <x v="336"/>
    <x v="3"/>
  </r>
  <r>
    <x v="0"/>
    <x v="29"/>
    <x v="29"/>
    <x v="19"/>
    <x v="19"/>
    <x v="19"/>
    <x v="9"/>
    <x v="191"/>
    <x v="163"/>
    <x v="79"/>
    <x v="88"/>
    <x v="126"/>
    <x v="336"/>
    <x v="3"/>
  </r>
  <r>
    <x v="0"/>
    <x v="29"/>
    <x v="29"/>
    <x v="25"/>
    <x v="25"/>
    <x v="25"/>
    <x v="9"/>
    <x v="191"/>
    <x v="163"/>
    <x v="79"/>
    <x v="88"/>
    <x v="126"/>
    <x v="336"/>
    <x v="3"/>
  </r>
  <r>
    <x v="0"/>
    <x v="29"/>
    <x v="29"/>
    <x v="27"/>
    <x v="27"/>
    <x v="27"/>
    <x v="9"/>
    <x v="191"/>
    <x v="163"/>
    <x v="79"/>
    <x v="88"/>
    <x v="125"/>
    <x v="220"/>
    <x v="3"/>
  </r>
  <r>
    <x v="0"/>
    <x v="29"/>
    <x v="29"/>
    <x v="0"/>
    <x v="0"/>
    <x v="0"/>
    <x v="9"/>
    <x v="191"/>
    <x v="163"/>
    <x v="89"/>
    <x v="360"/>
    <x v="125"/>
    <x v="220"/>
    <x v="3"/>
  </r>
  <r>
    <x v="0"/>
    <x v="29"/>
    <x v="29"/>
    <x v="11"/>
    <x v="11"/>
    <x v="11"/>
    <x v="9"/>
    <x v="191"/>
    <x v="163"/>
    <x v="89"/>
    <x v="360"/>
    <x v="125"/>
    <x v="220"/>
    <x v="3"/>
  </r>
  <r>
    <x v="0"/>
    <x v="29"/>
    <x v="29"/>
    <x v="21"/>
    <x v="21"/>
    <x v="21"/>
    <x v="9"/>
    <x v="191"/>
    <x v="163"/>
    <x v="79"/>
    <x v="88"/>
    <x v="126"/>
    <x v="336"/>
    <x v="3"/>
  </r>
  <r>
    <x v="0"/>
    <x v="30"/>
    <x v="30"/>
    <x v="1"/>
    <x v="1"/>
    <x v="1"/>
    <x v="0"/>
    <x v="192"/>
    <x v="349"/>
    <x v="90"/>
    <x v="361"/>
    <x v="119"/>
    <x v="326"/>
    <x v="3"/>
  </r>
  <r>
    <x v="0"/>
    <x v="30"/>
    <x v="30"/>
    <x v="3"/>
    <x v="3"/>
    <x v="3"/>
    <x v="1"/>
    <x v="137"/>
    <x v="350"/>
    <x v="37"/>
    <x v="360"/>
    <x v="88"/>
    <x v="337"/>
    <x v="3"/>
  </r>
  <r>
    <x v="0"/>
    <x v="30"/>
    <x v="30"/>
    <x v="5"/>
    <x v="5"/>
    <x v="5"/>
    <x v="1"/>
    <x v="137"/>
    <x v="350"/>
    <x v="121"/>
    <x v="362"/>
    <x v="120"/>
    <x v="198"/>
    <x v="3"/>
  </r>
  <r>
    <x v="0"/>
    <x v="30"/>
    <x v="30"/>
    <x v="2"/>
    <x v="2"/>
    <x v="2"/>
    <x v="3"/>
    <x v="138"/>
    <x v="351"/>
    <x v="108"/>
    <x v="363"/>
    <x v="111"/>
    <x v="338"/>
    <x v="3"/>
  </r>
  <r>
    <x v="0"/>
    <x v="30"/>
    <x v="30"/>
    <x v="0"/>
    <x v="0"/>
    <x v="0"/>
    <x v="4"/>
    <x v="139"/>
    <x v="352"/>
    <x v="115"/>
    <x v="342"/>
    <x v="121"/>
    <x v="262"/>
    <x v="3"/>
  </r>
  <r>
    <x v="0"/>
    <x v="30"/>
    <x v="30"/>
    <x v="32"/>
    <x v="32"/>
    <x v="32"/>
    <x v="5"/>
    <x v="154"/>
    <x v="353"/>
    <x v="76"/>
    <x v="346"/>
    <x v="126"/>
    <x v="56"/>
    <x v="3"/>
  </r>
  <r>
    <x v="0"/>
    <x v="30"/>
    <x v="30"/>
    <x v="6"/>
    <x v="6"/>
    <x v="6"/>
    <x v="6"/>
    <x v="186"/>
    <x v="84"/>
    <x v="54"/>
    <x v="364"/>
    <x v="121"/>
    <x v="262"/>
    <x v="3"/>
  </r>
  <r>
    <x v="0"/>
    <x v="30"/>
    <x v="30"/>
    <x v="18"/>
    <x v="18"/>
    <x v="18"/>
    <x v="6"/>
    <x v="186"/>
    <x v="84"/>
    <x v="54"/>
    <x v="364"/>
    <x v="121"/>
    <x v="262"/>
    <x v="3"/>
  </r>
  <r>
    <x v="0"/>
    <x v="30"/>
    <x v="30"/>
    <x v="4"/>
    <x v="4"/>
    <x v="4"/>
    <x v="8"/>
    <x v="187"/>
    <x v="354"/>
    <x v="89"/>
    <x v="218"/>
    <x v="119"/>
    <x v="326"/>
    <x v="3"/>
  </r>
  <r>
    <x v="0"/>
    <x v="30"/>
    <x v="30"/>
    <x v="9"/>
    <x v="9"/>
    <x v="9"/>
    <x v="8"/>
    <x v="187"/>
    <x v="354"/>
    <x v="54"/>
    <x v="364"/>
    <x v="125"/>
    <x v="220"/>
    <x v="0"/>
  </r>
  <r>
    <x v="0"/>
    <x v="30"/>
    <x v="30"/>
    <x v="8"/>
    <x v="8"/>
    <x v="8"/>
    <x v="10"/>
    <x v="188"/>
    <x v="328"/>
    <x v="79"/>
    <x v="88"/>
    <x v="119"/>
    <x v="326"/>
    <x v="3"/>
  </r>
  <r>
    <x v="0"/>
    <x v="30"/>
    <x v="30"/>
    <x v="12"/>
    <x v="12"/>
    <x v="12"/>
    <x v="10"/>
    <x v="188"/>
    <x v="328"/>
    <x v="54"/>
    <x v="364"/>
    <x v="125"/>
    <x v="220"/>
    <x v="3"/>
  </r>
  <r>
    <x v="0"/>
    <x v="30"/>
    <x v="30"/>
    <x v="7"/>
    <x v="7"/>
    <x v="7"/>
    <x v="10"/>
    <x v="188"/>
    <x v="328"/>
    <x v="51"/>
    <x v="365"/>
    <x v="126"/>
    <x v="56"/>
    <x v="3"/>
  </r>
  <r>
    <x v="0"/>
    <x v="30"/>
    <x v="30"/>
    <x v="10"/>
    <x v="10"/>
    <x v="10"/>
    <x v="10"/>
    <x v="188"/>
    <x v="328"/>
    <x v="54"/>
    <x v="364"/>
    <x v="125"/>
    <x v="220"/>
    <x v="3"/>
  </r>
  <r>
    <x v="0"/>
    <x v="30"/>
    <x v="30"/>
    <x v="13"/>
    <x v="13"/>
    <x v="13"/>
    <x v="10"/>
    <x v="188"/>
    <x v="328"/>
    <x v="51"/>
    <x v="365"/>
    <x v="126"/>
    <x v="56"/>
    <x v="3"/>
  </r>
  <r>
    <x v="0"/>
    <x v="30"/>
    <x v="30"/>
    <x v="11"/>
    <x v="11"/>
    <x v="11"/>
    <x v="10"/>
    <x v="188"/>
    <x v="328"/>
    <x v="54"/>
    <x v="364"/>
    <x v="125"/>
    <x v="220"/>
    <x v="3"/>
  </r>
  <r>
    <x v="0"/>
    <x v="30"/>
    <x v="30"/>
    <x v="16"/>
    <x v="16"/>
    <x v="16"/>
    <x v="10"/>
    <x v="188"/>
    <x v="328"/>
    <x v="79"/>
    <x v="88"/>
    <x v="120"/>
    <x v="198"/>
    <x v="3"/>
  </r>
  <r>
    <x v="0"/>
    <x v="30"/>
    <x v="30"/>
    <x v="14"/>
    <x v="14"/>
    <x v="14"/>
    <x v="10"/>
    <x v="188"/>
    <x v="328"/>
    <x v="51"/>
    <x v="365"/>
    <x v="126"/>
    <x v="56"/>
    <x v="3"/>
  </r>
  <r>
    <x v="0"/>
    <x v="30"/>
    <x v="30"/>
    <x v="35"/>
    <x v="35"/>
    <x v="35"/>
    <x v="18"/>
    <x v="189"/>
    <x v="135"/>
    <x v="79"/>
    <x v="88"/>
    <x v="120"/>
    <x v="198"/>
    <x v="3"/>
  </r>
  <r>
    <x v="0"/>
    <x v="30"/>
    <x v="30"/>
    <x v="19"/>
    <x v="19"/>
    <x v="19"/>
    <x v="18"/>
    <x v="189"/>
    <x v="135"/>
    <x v="79"/>
    <x v="88"/>
    <x v="120"/>
    <x v="198"/>
    <x v="3"/>
  </r>
  <r>
    <x v="0"/>
    <x v="30"/>
    <x v="30"/>
    <x v="22"/>
    <x v="22"/>
    <x v="22"/>
    <x v="18"/>
    <x v="189"/>
    <x v="135"/>
    <x v="89"/>
    <x v="218"/>
    <x v="121"/>
    <x v="262"/>
    <x v="3"/>
  </r>
  <r>
    <x v="0"/>
    <x v="31"/>
    <x v="31"/>
    <x v="1"/>
    <x v="1"/>
    <x v="1"/>
    <x v="0"/>
    <x v="146"/>
    <x v="355"/>
    <x v="46"/>
    <x v="366"/>
    <x v="114"/>
    <x v="339"/>
    <x v="3"/>
  </r>
  <r>
    <x v="0"/>
    <x v="31"/>
    <x v="31"/>
    <x v="3"/>
    <x v="3"/>
    <x v="3"/>
    <x v="1"/>
    <x v="158"/>
    <x v="356"/>
    <x v="37"/>
    <x v="367"/>
    <x v="67"/>
    <x v="337"/>
    <x v="3"/>
  </r>
  <r>
    <x v="0"/>
    <x v="31"/>
    <x v="31"/>
    <x v="2"/>
    <x v="2"/>
    <x v="2"/>
    <x v="2"/>
    <x v="139"/>
    <x v="357"/>
    <x v="76"/>
    <x v="368"/>
    <x v="117"/>
    <x v="340"/>
    <x v="3"/>
  </r>
  <r>
    <x v="0"/>
    <x v="31"/>
    <x v="31"/>
    <x v="0"/>
    <x v="0"/>
    <x v="0"/>
    <x v="3"/>
    <x v="150"/>
    <x v="279"/>
    <x v="35"/>
    <x v="180"/>
    <x v="125"/>
    <x v="220"/>
    <x v="3"/>
  </r>
  <r>
    <x v="0"/>
    <x v="31"/>
    <x v="31"/>
    <x v="6"/>
    <x v="6"/>
    <x v="6"/>
    <x v="4"/>
    <x v="154"/>
    <x v="358"/>
    <x v="91"/>
    <x v="369"/>
    <x v="119"/>
    <x v="153"/>
    <x v="3"/>
  </r>
  <r>
    <x v="0"/>
    <x v="31"/>
    <x v="31"/>
    <x v="5"/>
    <x v="5"/>
    <x v="5"/>
    <x v="5"/>
    <x v="184"/>
    <x v="359"/>
    <x v="37"/>
    <x v="367"/>
    <x v="120"/>
    <x v="34"/>
    <x v="3"/>
  </r>
  <r>
    <x v="0"/>
    <x v="31"/>
    <x v="31"/>
    <x v="7"/>
    <x v="7"/>
    <x v="7"/>
    <x v="6"/>
    <x v="186"/>
    <x v="102"/>
    <x v="54"/>
    <x v="370"/>
    <x v="121"/>
    <x v="341"/>
    <x v="3"/>
  </r>
  <r>
    <x v="0"/>
    <x v="31"/>
    <x v="31"/>
    <x v="18"/>
    <x v="18"/>
    <x v="18"/>
    <x v="7"/>
    <x v="187"/>
    <x v="360"/>
    <x v="89"/>
    <x v="238"/>
    <x v="119"/>
    <x v="153"/>
    <x v="3"/>
  </r>
  <r>
    <x v="0"/>
    <x v="31"/>
    <x v="31"/>
    <x v="37"/>
    <x v="37"/>
    <x v="37"/>
    <x v="7"/>
    <x v="187"/>
    <x v="360"/>
    <x v="128"/>
    <x v="236"/>
    <x v="120"/>
    <x v="34"/>
    <x v="3"/>
  </r>
  <r>
    <x v="0"/>
    <x v="31"/>
    <x v="31"/>
    <x v="28"/>
    <x v="28"/>
    <x v="28"/>
    <x v="7"/>
    <x v="187"/>
    <x v="360"/>
    <x v="89"/>
    <x v="238"/>
    <x v="119"/>
    <x v="153"/>
    <x v="3"/>
  </r>
  <r>
    <x v="0"/>
    <x v="31"/>
    <x v="31"/>
    <x v="19"/>
    <x v="19"/>
    <x v="19"/>
    <x v="10"/>
    <x v="188"/>
    <x v="107"/>
    <x v="79"/>
    <x v="88"/>
    <x v="119"/>
    <x v="153"/>
    <x v="3"/>
  </r>
  <r>
    <x v="0"/>
    <x v="31"/>
    <x v="31"/>
    <x v="12"/>
    <x v="12"/>
    <x v="12"/>
    <x v="10"/>
    <x v="188"/>
    <x v="107"/>
    <x v="54"/>
    <x v="370"/>
    <x v="125"/>
    <x v="220"/>
    <x v="3"/>
  </r>
  <r>
    <x v="0"/>
    <x v="31"/>
    <x v="31"/>
    <x v="10"/>
    <x v="10"/>
    <x v="10"/>
    <x v="10"/>
    <x v="188"/>
    <x v="107"/>
    <x v="128"/>
    <x v="236"/>
    <x v="121"/>
    <x v="341"/>
    <x v="3"/>
  </r>
  <r>
    <x v="0"/>
    <x v="31"/>
    <x v="31"/>
    <x v="8"/>
    <x v="8"/>
    <x v="8"/>
    <x v="13"/>
    <x v="189"/>
    <x v="361"/>
    <x v="89"/>
    <x v="238"/>
    <x v="121"/>
    <x v="341"/>
    <x v="3"/>
  </r>
  <r>
    <x v="0"/>
    <x v="31"/>
    <x v="31"/>
    <x v="32"/>
    <x v="32"/>
    <x v="32"/>
    <x v="13"/>
    <x v="189"/>
    <x v="361"/>
    <x v="51"/>
    <x v="45"/>
    <x v="125"/>
    <x v="220"/>
    <x v="3"/>
  </r>
  <r>
    <x v="0"/>
    <x v="31"/>
    <x v="31"/>
    <x v="9"/>
    <x v="9"/>
    <x v="9"/>
    <x v="13"/>
    <x v="189"/>
    <x v="361"/>
    <x v="89"/>
    <x v="238"/>
    <x v="121"/>
    <x v="341"/>
    <x v="3"/>
  </r>
  <r>
    <x v="0"/>
    <x v="31"/>
    <x v="31"/>
    <x v="14"/>
    <x v="14"/>
    <x v="14"/>
    <x v="13"/>
    <x v="189"/>
    <x v="361"/>
    <x v="128"/>
    <x v="236"/>
    <x v="126"/>
    <x v="318"/>
    <x v="3"/>
  </r>
  <r>
    <x v="0"/>
    <x v="31"/>
    <x v="31"/>
    <x v="21"/>
    <x v="21"/>
    <x v="21"/>
    <x v="13"/>
    <x v="189"/>
    <x v="361"/>
    <x v="79"/>
    <x v="88"/>
    <x v="120"/>
    <x v="34"/>
    <x v="3"/>
  </r>
  <r>
    <x v="0"/>
    <x v="31"/>
    <x v="31"/>
    <x v="35"/>
    <x v="35"/>
    <x v="35"/>
    <x v="18"/>
    <x v="190"/>
    <x v="362"/>
    <x v="79"/>
    <x v="88"/>
    <x v="121"/>
    <x v="341"/>
    <x v="3"/>
  </r>
  <r>
    <x v="0"/>
    <x v="31"/>
    <x v="31"/>
    <x v="36"/>
    <x v="36"/>
    <x v="36"/>
    <x v="18"/>
    <x v="190"/>
    <x v="362"/>
    <x v="128"/>
    <x v="236"/>
    <x v="125"/>
    <x v="220"/>
    <x v="3"/>
  </r>
  <r>
    <x v="0"/>
    <x v="31"/>
    <x v="31"/>
    <x v="51"/>
    <x v="51"/>
    <x v="51"/>
    <x v="18"/>
    <x v="190"/>
    <x v="362"/>
    <x v="89"/>
    <x v="238"/>
    <x v="126"/>
    <x v="318"/>
    <x v="3"/>
  </r>
  <r>
    <x v="0"/>
    <x v="31"/>
    <x v="31"/>
    <x v="17"/>
    <x v="17"/>
    <x v="17"/>
    <x v="18"/>
    <x v="190"/>
    <x v="362"/>
    <x v="79"/>
    <x v="88"/>
    <x v="121"/>
    <x v="341"/>
    <x v="3"/>
  </r>
  <r>
    <x v="0"/>
    <x v="31"/>
    <x v="31"/>
    <x v="4"/>
    <x v="4"/>
    <x v="4"/>
    <x v="18"/>
    <x v="190"/>
    <x v="362"/>
    <x v="89"/>
    <x v="238"/>
    <x v="126"/>
    <x v="318"/>
    <x v="3"/>
  </r>
  <r>
    <x v="0"/>
    <x v="31"/>
    <x v="31"/>
    <x v="43"/>
    <x v="43"/>
    <x v="43"/>
    <x v="18"/>
    <x v="190"/>
    <x v="362"/>
    <x v="79"/>
    <x v="88"/>
    <x v="121"/>
    <x v="341"/>
    <x v="3"/>
  </r>
  <r>
    <x v="0"/>
    <x v="31"/>
    <x v="31"/>
    <x v="27"/>
    <x v="27"/>
    <x v="27"/>
    <x v="18"/>
    <x v="190"/>
    <x v="362"/>
    <x v="128"/>
    <x v="236"/>
    <x v="125"/>
    <x v="220"/>
    <x v="3"/>
  </r>
  <r>
    <x v="0"/>
    <x v="31"/>
    <x v="31"/>
    <x v="52"/>
    <x v="52"/>
    <x v="52"/>
    <x v="18"/>
    <x v="190"/>
    <x v="362"/>
    <x v="89"/>
    <x v="238"/>
    <x v="126"/>
    <x v="318"/>
    <x v="3"/>
  </r>
  <r>
    <x v="0"/>
    <x v="32"/>
    <x v="32"/>
    <x v="1"/>
    <x v="1"/>
    <x v="1"/>
    <x v="0"/>
    <x v="168"/>
    <x v="363"/>
    <x v="95"/>
    <x v="371"/>
    <x v="83"/>
    <x v="342"/>
    <x v="3"/>
  </r>
  <r>
    <x v="0"/>
    <x v="32"/>
    <x v="32"/>
    <x v="3"/>
    <x v="3"/>
    <x v="3"/>
    <x v="1"/>
    <x v="119"/>
    <x v="313"/>
    <x v="52"/>
    <x v="372"/>
    <x v="112"/>
    <x v="343"/>
    <x v="3"/>
  </r>
  <r>
    <x v="0"/>
    <x v="32"/>
    <x v="32"/>
    <x v="5"/>
    <x v="5"/>
    <x v="5"/>
    <x v="2"/>
    <x v="157"/>
    <x v="364"/>
    <x v="88"/>
    <x v="373"/>
    <x v="114"/>
    <x v="344"/>
    <x v="3"/>
  </r>
  <r>
    <x v="0"/>
    <x v="32"/>
    <x v="32"/>
    <x v="0"/>
    <x v="0"/>
    <x v="0"/>
    <x v="3"/>
    <x v="164"/>
    <x v="365"/>
    <x v="53"/>
    <x v="374"/>
    <x v="125"/>
    <x v="220"/>
    <x v="3"/>
  </r>
  <r>
    <x v="0"/>
    <x v="32"/>
    <x v="32"/>
    <x v="2"/>
    <x v="2"/>
    <x v="2"/>
    <x v="4"/>
    <x v="152"/>
    <x v="366"/>
    <x v="111"/>
    <x v="194"/>
    <x v="114"/>
    <x v="344"/>
    <x v="3"/>
  </r>
  <r>
    <x v="0"/>
    <x v="32"/>
    <x v="32"/>
    <x v="32"/>
    <x v="32"/>
    <x v="32"/>
    <x v="4"/>
    <x v="152"/>
    <x v="366"/>
    <x v="117"/>
    <x v="375"/>
    <x v="126"/>
    <x v="50"/>
    <x v="3"/>
  </r>
  <r>
    <x v="0"/>
    <x v="32"/>
    <x v="32"/>
    <x v="7"/>
    <x v="7"/>
    <x v="7"/>
    <x v="6"/>
    <x v="155"/>
    <x v="11"/>
    <x v="16"/>
    <x v="376"/>
    <x v="126"/>
    <x v="50"/>
    <x v="3"/>
  </r>
  <r>
    <x v="0"/>
    <x v="32"/>
    <x v="32"/>
    <x v="4"/>
    <x v="4"/>
    <x v="4"/>
    <x v="6"/>
    <x v="155"/>
    <x v="11"/>
    <x v="54"/>
    <x v="377"/>
    <x v="113"/>
    <x v="27"/>
    <x v="3"/>
  </r>
  <r>
    <x v="0"/>
    <x v="32"/>
    <x v="32"/>
    <x v="9"/>
    <x v="9"/>
    <x v="9"/>
    <x v="8"/>
    <x v="156"/>
    <x v="367"/>
    <x v="91"/>
    <x v="347"/>
    <x v="121"/>
    <x v="223"/>
    <x v="3"/>
  </r>
  <r>
    <x v="0"/>
    <x v="32"/>
    <x v="32"/>
    <x v="14"/>
    <x v="14"/>
    <x v="14"/>
    <x v="8"/>
    <x v="156"/>
    <x v="367"/>
    <x v="108"/>
    <x v="378"/>
    <x v="126"/>
    <x v="50"/>
    <x v="3"/>
  </r>
  <r>
    <x v="0"/>
    <x v="32"/>
    <x v="32"/>
    <x v="12"/>
    <x v="12"/>
    <x v="12"/>
    <x v="10"/>
    <x v="185"/>
    <x v="260"/>
    <x v="54"/>
    <x v="377"/>
    <x v="120"/>
    <x v="345"/>
    <x v="3"/>
  </r>
  <r>
    <x v="0"/>
    <x v="32"/>
    <x v="32"/>
    <x v="11"/>
    <x v="11"/>
    <x v="11"/>
    <x v="10"/>
    <x v="185"/>
    <x v="260"/>
    <x v="91"/>
    <x v="347"/>
    <x v="125"/>
    <x v="220"/>
    <x v="3"/>
  </r>
  <r>
    <x v="0"/>
    <x v="32"/>
    <x v="32"/>
    <x v="18"/>
    <x v="18"/>
    <x v="18"/>
    <x v="12"/>
    <x v="186"/>
    <x v="274"/>
    <x v="51"/>
    <x v="379"/>
    <x v="120"/>
    <x v="345"/>
    <x v="3"/>
  </r>
  <r>
    <x v="0"/>
    <x v="32"/>
    <x v="32"/>
    <x v="10"/>
    <x v="10"/>
    <x v="10"/>
    <x v="12"/>
    <x v="186"/>
    <x v="274"/>
    <x v="54"/>
    <x v="377"/>
    <x v="121"/>
    <x v="223"/>
    <x v="3"/>
  </r>
  <r>
    <x v="0"/>
    <x v="32"/>
    <x v="32"/>
    <x v="6"/>
    <x v="6"/>
    <x v="6"/>
    <x v="14"/>
    <x v="187"/>
    <x v="74"/>
    <x v="128"/>
    <x v="258"/>
    <x v="120"/>
    <x v="345"/>
    <x v="3"/>
  </r>
  <r>
    <x v="0"/>
    <x v="32"/>
    <x v="32"/>
    <x v="19"/>
    <x v="19"/>
    <x v="19"/>
    <x v="14"/>
    <x v="187"/>
    <x v="74"/>
    <x v="128"/>
    <x v="258"/>
    <x v="120"/>
    <x v="345"/>
    <x v="3"/>
  </r>
  <r>
    <x v="0"/>
    <x v="32"/>
    <x v="32"/>
    <x v="35"/>
    <x v="35"/>
    <x v="35"/>
    <x v="16"/>
    <x v="188"/>
    <x v="214"/>
    <x v="128"/>
    <x v="258"/>
    <x v="121"/>
    <x v="223"/>
    <x v="3"/>
  </r>
  <r>
    <x v="0"/>
    <x v="32"/>
    <x v="32"/>
    <x v="42"/>
    <x v="42"/>
    <x v="42"/>
    <x v="16"/>
    <x v="188"/>
    <x v="214"/>
    <x v="79"/>
    <x v="88"/>
    <x v="119"/>
    <x v="218"/>
    <x v="3"/>
  </r>
  <r>
    <x v="0"/>
    <x v="32"/>
    <x v="32"/>
    <x v="13"/>
    <x v="13"/>
    <x v="13"/>
    <x v="16"/>
    <x v="188"/>
    <x v="214"/>
    <x v="79"/>
    <x v="88"/>
    <x v="119"/>
    <x v="218"/>
    <x v="3"/>
  </r>
  <r>
    <x v="0"/>
    <x v="32"/>
    <x v="32"/>
    <x v="26"/>
    <x v="26"/>
    <x v="26"/>
    <x v="16"/>
    <x v="188"/>
    <x v="214"/>
    <x v="128"/>
    <x v="258"/>
    <x v="121"/>
    <x v="223"/>
    <x v="3"/>
  </r>
  <r>
    <x v="0"/>
    <x v="33"/>
    <x v="33"/>
    <x v="3"/>
    <x v="3"/>
    <x v="3"/>
    <x v="0"/>
    <x v="134"/>
    <x v="368"/>
    <x v="66"/>
    <x v="66"/>
    <x v="66"/>
    <x v="346"/>
    <x v="3"/>
  </r>
  <r>
    <x v="0"/>
    <x v="33"/>
    <x v="33"/>
    <x v="0"/>
    <x v="0"/>
    <x v="0"/>
    <x v="1"/>
    <x v="106"/>
    <x v="369"/>
    <x v="75"/>
    <x v="380"/>
    <x v="83"/>
    <x v="190"/>
    <x v="3"/>
  </r>
  <r>
    <x v="0"/>
    <x v="33"/>
    <x v="33"/>
    <x v="6"/>
    <x v="6"/>
    <x v="6"/>
    <x v="2"/>
    <x v="157"/>
    <x v="307"/>
    <x v="38"/>
    <x v="381"/>
    <x v="100"/>
    <x v="347"/>
    <x v="3"/>
  </r>
  <r>
    <x v="0"/>
    <x v="33"/>
    <x v="33"/>
    <x v="5"/>
    <x v="5"/>
    <x v="5"/>
    <x v="3"/>
    <x v="146"/>
    <x v="370"/>
    <x v="111"/>
    <x v="382"/>
    <x v="124"/>
    <x v="348"/>
    <x v="3"/>
  </r>
  <r>
    <x v="0"/>
    <x v="33"/>
    <x v="33"/>
    <x v="2"/>
    <x v="2"/>
    <x v="2"/>
    <x v="4"/>
    <x v="152"/>
    <x v="266"/>
    <x v="98"/>
    <x v="383"/>
    <x v="100"/>
    <x v="347"/>
    <x v="3"/>
  </r>
  <r>
    <x v="0"/>
    <x v="33"/>
    <x v="33"/>
    <x v="7"/>
    <x v="7"/>
    <x v="7"/>
    <x v="5"/>
    <x v="147"/>
    <x v="371"/>
    <x v="111"/>
    <x v="382"/>
    <x v="83"/>
    <x v="190"/>
    <x v="3"/>
  </r>
  <r>
    <x v="0"/>
    <x v="33"/>
    <x v="33"/>
    <x v="1"/>
    <x v="1"/>
    <x v="1"/>
    <x v="6"/>
    <x v="137"/>
    <x v="372"/>
    <x v="46"/>
    <x v="384"/>
    <x v="126"/>
    <x v="349"/>
    <x v="3"/>
  </r>
  <r>
    <x v="0"/>
    <x v="33"/>
    <x v="33"/>
    <x v="8"/>
    <x v="8"/>
    <x v="8"/>
    <x v="7"/>
    <x v="149"/>
    <x v="300"/>
    <x v="37"/>
    <x v="73"/>
    <x v="116"/>
    <x v="350"/>
    <x v="3"/>
  </r>
  <r>
    <x v="0"/>
    <x v="33"/>
    <x v="33"/>
    <x v="14"/>
    <x v="14"/>
    <x v="14"/>
    <x v="8"/>
    <x v="150"/>
    <x v="82"/>
    <x v="16"/>
    <x v="7"/>
    <x v="119"/>
    <x v="36"/>
    <x v="3"/>
  </r>
  <r>
    <x v="0"/>
    <x v="33"/>
    <x v="33"/>
    <x v="25"/>
    <x v="25"/>
    <x v="25"/>
    <x v="9"/>
    <x v="156"/>
    <x v="243"/>
    <x v="51"/>
    <x v="385"/>
    <x v="83"/>
    <x v="190"/>
    <x v="3"/>
  </r>
  <r>
    <x v="0"/>
    <x v="33"/>
    <x v="33"/>
    <x v="4"/>
    <x v="4"/>
    <x v="4"/>
    <x v="9"/>
    <x v="156"/>
    <x v="243"/>
    <x v="128"/>
    <x v="34"/>
    <x v="117"/>
    <x v="351"/>
    <x v="3"/>
  </r>
  <r>
    <x v="0"/>
    <x v="33"/>
    <x v="33"/>
    <x v="11"/>
    <x v="11"/>
    <x v="11"/>
    <x v="9"/>
    <x v="156"/>
    <x v="243"/>
    <x v="91"/>
    <x v="3"/>
    <x v="121"/>
    <x v="196"/>
    <x v="3"/>
  </r>
  <r>
    <x v="0"/>
    <x v="33"/>
    <x v="33"/>
    <x v="16"/>
    <x v="16"/>
    <x v="16"/>
    <x v="12"/>
    <x v="184"/>
    <x v="108"/>
    <x v="89"/>
    <x v="386"/>
    <x v="117"/>
    <x v="351"/>
    <x v="3"/>
  </r>
  <r>
    <x v="0"/>
    <x v="33"/>
    <x v="33"/>
    <x v="15"/>
    <x v="15"/>
    <x v="15"/>
    <x v="13"/>
    <x v="185"/>
    <x v="177"/>
    <x v="51"/>
    <x v="385"/>
    <x v="119"/>
    <x v="36"/>
    <x v="3"/>
  </r>
  <r>
    <x v="0"/>
    <x v="33"/>
    <x v="33"/>
    <x v="10"/>
    <x v="10"/>
    <x v="10"/>
    <x v="13"/>
    <x v="185"/>
    <x v="177"/>
    <x v="37"/>
    <x v="73"/>
    <x v="121"/>
    <x v="196"/>
    <x v="3"/>
  </r>
  <r>
    <x v="0"/>
    <x v="33"/>
    <x v="33"/>
    <x v="27"/>
    <x v="27"/>
    <x v="27"/>
    <x v="13"/>
    <x v="185"/>
    <x v="177"/>
    <x v="52"/>
    <x v="63"/>
    <x v="126"/>
    <x v="349"/>
    <x v="3"/>
  </r>
  <r>
    <x v="0"/>
    <x v="33"/>
    <x v="33"/>
    <x v="9"/>
    <x v="9"/>
    <x v="9"/>
    <x v="13"/>
    <x v="185"/>
    <x v="177"/>
    <x v="51"/>
    <x v="385"/>
    <x v="119"/>
    <x v="36"/>
    <x v="3"/>
  </r>
  <r>
    <x v="0"/>
    <x v="33"/>
    <x v="33"/>
    <x v="18"/>
    <x v="18"/>
    <x v="18"/>
    <x v="17"/>
    <x v="186"/>
    <x v="373"/>
    <x v="54"/>
    <x v="273"/>
    <x v="121"/>
    <x v="196"/>
    <x v="3"/>
  </r>
  <r>
    <x v="0"/>
    <x v="33"/>
    <x v="33"/>
    <x v="40"/>
    <x v="40"/>
    <x v="40"/>
    <x v="17"/>
    <x v="186"/>
    <x v="373"/>
    <x v="89"/>
    <x v="386"/>
    <x v="113"/>
    <x v="352"/>
    <x v="3"/>
  </r>
  <r>
    <x v="0"/>
    <x v="33"/>
    <x v="33"/>
    <x v="13"/>
    <x v="13"/>
    <x v="13"/>
    <x v="17"/>
    <x v="186"/>
    <x v="373"/>
    <x v="51"/>
    <x v="385"/>
    <x v="121"/>
    <x v="196"/>
    <x v="3"/>
  </r>
  <r>
    <x v="0"/>
    <x v="34"/>
    <x v="34"/>
    <x v="12"/>
    <x v="12"/>
    <x v="12"/>
    <x v="0"/>
    <x v="92"/>
    <x v="374"/>
    <x v="128"/>
    <x v="387"/>
    <x v="128"/>
    <x v="353"/>
    <x v="3"/>
  </r>
  <r>
    <x v="0"/>
    <x v="34"/>
    <x v="34"/>
    <x v="2"/>
    <x v="2"/>
    <x v="2"/>
    <x v="1"/>
    <x v="145"/>
    <x v="375"/>
    <x v="37"/>
    <x v="388"/>
    <x v="87"/>
    <x v="354"/>
    <x v="3"/>
  </r>
  <r>
    <x v="0"/>
    <x v="34"/>
    <x v="34"/>
    <x v="4"/>
    <x v="4"/>
    <x v="4"/>
    <x v="2"/>
    <x v="192"/>
    <x v="376"/>
    <x v="38"/>
    <x v="389"/>
    <x v="83"/>
    <x v="252"/>
    <x v="3"/>
  </r>
  <r>
    <x v="0"/>
    <x v="34"/>
    <x v="34"/>
    <x v="3"/>
    <x v="3"/>
    <x v="3"/>
    <x v="3"/>
    <x v="137"/>
    <x v="377"/>
    <x v="37"/>
    <x v="388"/>
    <x v="88"/>
    <x v="355"/>
    <x v="3"/>
  </r>
  <r>
    <x v="0"/>
    <x v="34"/>
    <x v="34"/>
    <x v="7"/>
    <x v="7"/>
    <x v="7"/>
    <x v="4"/>
    <x v="139"/>
    <x v="256"/>
    <x v="91"/>
    <x v="390"/>
    <x v="111"/>
    <x v="356"/>
    <x v="3"/>
  </r>
  <r>
    <x v="0"/>
    <x v="34"/>
    <x v="34"/>
    <x v="0"/>
    <x v="0"/>
    <x v="0"/>
    <x v="4"/>
    <x v="139"/>
    <x v="256"/>
    <x v="66"/>
    <x v="391"/>
    <x v="113"/>
    <x v="168"/>
    <x v="3"/>
  </r>
  <r>
    <x v="0"/>
    <x v="34"/>
    <x v="34"/>
    <x v="6"/>
    <x v="6"/>
    <x v="6"/>
    <x v="6"/>
    <x v="155"/>
    <x v="378"/>
    <x v="54"/>
    <x v="161"/>
    <x v="83"/>
    <x v="252"/>
    <x v="3"/>
  </r>
  <r>
    <x v="0"/>
    <x v="34"/>
    <x v="34"/>
    <x v="5"/>
    <x v="5"/>
    <x v="5"/>
    <x v="6"/>
    <x v="155"/>
    <x v="378"/>
    <x v="52"/>
    <x v="392"/>
    <x v="119"/>
    <x v="357"/>
    <x v="3"/>
  </r>
  <r>
    <x v="0"/>
    <x v="34"/>
    <x v="34"/>
    <x v="1"/>
    <x v="1"/>
    <x v="1"/>
    <x v="8"/>
    <x v="156"/>
    <x v="379"/>
    <x v="37"/>
    <x v="388"/>
    <x v="119"/>
    <x v="357"/>
    <x v="3"/>
  </r>
  <r>
    <x v="0"/>
    <x v="34"/>
    <x v="34"/>
    <x v="8"/>
    <x v="8"/>
    <x v="8"/>
    <x v="9"/>
    <x v="184"/>
    <x v="147"/>
    <x v="54"/>
    <x v="161"/>
    <x v="119"/>
    <x v="357"/>
    <x v="3"/>
  </r>
  <r>
    <x v="0"/>
    <x v="34"/>
    <x v="34"/>
    <x v="25"/>
    <x v="25"/>
    <x v="25"/>
    <x v="9"/>
    <x v="184"/>
    <x v="147"/>
    <x v="79"/>
    <x v="88"/>
    <x v="114"/>
    <x v="65"/>
    <x v="3"/>
  </r>
  <r>
    <x v="0"/>
    <x v="34"/>
    <x v="34"/>
    <x v="16"/>
    <x v="16"/>
    <x v="16"/>
    <x v="11"/>
    <x v="185"/>
    <x v="380"/>
    <x v="79"/>
    <x v="88"/>
    <x v="117"/>
    <x v="358"/>
    <x v="3"/>
  </r>
  <r>
    <x v="0"/>
    <x v="34"/>
    <x v="34"/>
    <x v="15"/>
    <x v="15"/>
    <x v="15"/>
    <x v="12"/>
    <x v="186"/>
    <x v="163"/>
    <x v="89"/>
    <x v="393"/>
    <x v="113"/>
    <x v="168"/>
    <x v="3"/>
  </r>
  <r>
    <x v="0"/>
    <x v="34"/>
    <x v="34"/>
    <x v="10"/>
    <x v="10"/>
    <x v="10"/>
    <x v="12"/>
    <x v="186"/>
    <x v="163"/>
    <x v="89"/>
    <x v="393"/>
    <x v="113"/>
    <x v="168"/>
    <x v="3"/>
  </r>
  <r>
    <x v="0"/>
    <x v="34"/>
    <x v="34"/>
    <x v="22"/>
    <x v="22"/>
    <x v="22"/>
    <x v="12"/>
    <x v="186"/>
    <x v="163"/>
    <x v="79"/>
    <x v="88"/>
    <x v="83"/>
    <x v="252"/>
    <x v="3"/>
  </r>
  <r>
    <x v="0"/>
    <x v="34"/>
    <x v="34"/>
    <x v="9"/>
    <x v="9"/>
    <x v="9"/>
    <x v="15"/>
    <x v="187"/>
    <x v="274"/>
    <x v="54"/>
    <x v="161"/>
    <x v="126"/>
    <x v="175"/>
    <x v="3"/>
  </r>
  <r>
    <x v="0"/>
    <x v="34"/>
    <x v="34"/>
    <x v="18"/>
    <x v="18"/>
    <x v="18"/>
    <x v="16"/>
    <x v="188"/>
    <x v="37"/>
    <x v="79"/>
    <x v="88"/>
    <x v="119"/>
    <x v="357"/>
    <x v="3"/>
  </r>
  <r>
    <x v="0"/>
    <x v="34"/>
    <x v="34"/>
    <x v="19"/>
    <x v="19"/>
    <x v="19"/>
    <x v="16"/>
    <x v="188"/>
    <x v="37"/>
    <x v="89"/>
    <x v="393"/>
    <x v="120"/>
    <x v="359"/>
    <x v="3"/>
  </r>
  <r>
    <x v="0"/>
    <x v="34"/>
    <x v="34"/>
    <x v="24"/>
    <x v="24"/>
    <x v="24"/>
    <x v="16"/>
    <x v="188"/>
    <x v="37"/>
    <x v="89"/>
    <x v="393"/>
    <x v="120"/>
    <x v="359"/>
    <x v="3"/>
  </r>
  <r>
    <x v="0"/>
    <x v="34"/>
    <x v="34"/>
    <x v="43"/>
    <x v="43"/>
    <x v="43"/>
    <x v="16"/>
    <x v="188"/>
    <x v="37"/>
    <x v="79"/>
    <x v="88"/>
    <x v="119"/>
    <x v="357"/>
    <x v="3"/>
  </r>
  <r>
    <x v="0"/>
    <x v="34"/>
    <x v="34"/>
    <x v="13"/>
    <x v="13"/>
    <x v="13"/>
    <x v="16"/>
    <x v="188"/>
    <x v="37"/>
    <x v="89"/>
    <x v="393"/>
    <x v="120"/>
    <x v="359"/>
    <x v="3"/>
  </r>
  <r>
    <x v="0"/>
    <x v="34"/>
    <x v="34"/>
    <x v="14"/>
    <x v="14"/>
    <x v="14"/>
    <x v="16"/>
    <x v="188"/>
    <x v="37"/>
    <x v="51"/>
    <x v="394"/>
    <x v="126"/>
    <x v="175"/>
    <x v="3"/>
  </r>
  <r>
    <x v="0"/>
    <x v="34"/>
    <x v="34"/>
    <x v="21"/>
    <x v="21"/>
    <x v="21"/>
    <x v="16"/>
    <x v="188"/>
    <x v="37"/>
    <x v="79"/>
    <x v="88"/>
    <x v="119"/>
    <x v="357"/>
    <x v="3"/>
  </r>
  <r>
    <x v="0"/>
    <x v="35"/>
    <x v="35"/>
    <x v="3"/>
    <x v="3"/>
    <x v="3"/>
    <x v="0"/>
    <x v="102"/>
    <x v="381"/>
    <x v="90"/>
    <x v="240"/>
    <x v="55"/>
    <x v="360"/>
    <x v="3"/>
  </r>
  <r>
    <x v="0"/>
    <x v="35"/>
    <x v="35"/>
    <x v="6"/>
    <x v="6"/>
    <x v="6"/>
    <x v="1"/>
    <x v="86"/>
    <x v="382"/>
    <x v="97"/>
    <x v="395"/>
    <x v="112"/>
    <x v="361"/>
    <x v="3"/>
  </r>
  <r>
    <x v="0"/>
    <x v="35"/>
    <x v="35"/>
    <x v="0"/>
    <x v="0"/>
    <x v="0"/>
    <x v="2"/>
    <x v="135"/>
    <x v="383"/>
    <x v="77"/>
    <x v="396"/>
    <x v="119"/>
    <x v="362"/>
    <x v="3"/>
  </r>
  <r>
    <x v="0"/>
    <x v="35"/>
    <x v="35"/>
    <x v="2"/>
    <x v="2"/>
    <x v="2"/>
    <x v="3"/>
    <x v="145"/>
    <x v="384"/>
    <x v="16"/>
    <x v="213"/>
    <x v="67"/>
    <x v="363"/>
    <x v="3"/>
  </r>
  <r>
    <x v="0"/>
    <x v="35"/>
    <x v="35"/>
    <x v="8"/>
    <x v="8"/>
    <x v="8"/>
    <x v="4"/>
    <x v="158"/>
    <x v="195"/>
    <x v="108"/>
    <x v="397"/>
    <x v="118"/>
    <x v="364"/>
    <x v="3"/>
  </r>
  <r>
    <x v="0"/>
    <x v="35"/>
    <x v="35"/>
    <x v="4"/>
    <x v="4"/>
    <x v="4"/>
    <x v="5"/>
    <x v="192"/>
    <x v="385"/>
    <x v="91"/>
    <x v="398"/>
    <x v="115"/>
    <x v="365"/>
    <x v="3"/>
  </r>
  <r>
    <x v="0"/>
    <x v="35"/>
    <x v="35"/>
    <x v="7"/>
    <x v="7"/>
    <x v="7"/>
    <x v="6"/>
    <x v="147"/>
    <x v="66"/>
    <x v="38"/>
    <x v="399"/>
    <x v="113"/>
    <x v="366"/>
    <x v="3"/>
  </r>
  <r>
    <x v="0"/>
    <x v="35"/>
    <x v="35"/>
    <x v="10"/>
    <x v="10"/>
    <x v="10"/>
    <x v="7"/>
    <x v="137"/>
    <x v="386"/>
    <x v="115"/>
    <x v="400"/>
    <x v="83"/>
    <x v="367"/>
    <x v="3"/>
  </r>
  <r>
    <x v="0"/>
    <x v="35"/>
    <x v="35"/>
    <x v="9"/>
    <x v="9"/>
    <x v="9"/>
    <x v="7"/>
    <x v="137"/>
    <x v="386"/>
    <x v="121"/>
    <x v="401"/>
    <x v="120"/>
    <x v="286"/>
    <x v="3"/>
  </r>
  <r>
    <x v="0"/>
    <x v="35"/>
    <x v="35"/>
    <x v="1"/>
    <x v="1"/>
    <x v="1"/>
    <x v="9"/>
    <x v="148"/>
    <x v="387"/>
    <x v="121"/>
    <x v="401"/>
    <x v="121"/>
    <x v="368"/>
    <x v="3"/>
  </r>
  <r>
    <x v="0"/>
    <x v="35"/>
    <x v="35"/>
    <x v="11"/>
    <x v="11"/>
    <x v="11"/>
    <x v="10"/>
    <x v="149"/>
    <x v="145"/>
    <x v="121"/>
    <x v="401"/>
    <x v="126"/>
    <x v="225"/>
    <x v="3"/>
  </r>
  <r>
    <x v="0"/>
    <x v="35"/>
    <x v="35"/>
    <x v="14"/>
    <x v="14"/>
    <x v="14"/>
    <x v="11"/>
    <x v="153"/>
    <x v="388"/>
    <x v="35"/>
    <x v="265"/>
    <x v="120"/>
    <x v="286"/>
    <x v="3"/>
  </r>
  <r>
    <x v="0"/>
    <x v="35"/>
    <x v="35"/>
    <x v="5"/>
    <x v="5"/>
    <x v="5"/>
    <x v="12"/>
    <x v="141"/>
    <x v="354"/>
    <x v="98"/>
    <x v="402"/>
    <x v="120"/>
    <x v="286"/>
    <x v="3"/>
  </r>
  <r>
    <x v="0"/>
    <x v="35"/>
    <x v="35"/>
    <x v="17"/>
    <x v="17"/>
    <x v="17"/>
    <x v="13"/>
    <x v="150"/>
    <x v="88"/>
    <x v="79"/>
    <x v="88"/>
    <x v="100"/>
    <x v="369"/>
    <x v="3"/>
  </r>
  <r>
    <x v="0"/>
    <x v="35"/>
    <x v="35"/>
    <x v="15"/>
    <x v="15"/>
    <x v="15"/>
    <x v="13"/>
    <x v="150"/>
    <x v="88"/>
    <x v="51"/>
    <x v="403"/>
    <x v="94"/>
    <x v="370"/>
    <x v="0"/>
  </r>
  <r>
    <x v="0"/>
    <x v="35"/>
    <x v="35"/>
    <x v="20"/>
    <x v="20"/>
    <x v="20"/>
    <x v="15"/>
    <x v="156"/>
    <x v="320"/>
    <x v="51"/>
    <x v="403"/>
    <x v="83"/>
    <x v="367"/>
    <x v="3"/>
  </r>
  <r>
    <x v="0"/>
    <x v="35"/>
    <x v="35"/>
    <x v="22"/>
    <x v="22"/>
    <x v="22"/>
    <x v="15"/>
    <x v="156"/>
    <x v="320"/>
    <x v="54"/>
    <x v="404"/>
    <x v="119"/>
    <x v="362"/>
    <x v="3"/>
  </r>
  <r>
    <x v="0"/>
    <x v="35"/>
    <x v="35"/>
    <x v="24"/>
    <x v="24"/>
    <x v="24"/>
    <x v="17"/>
    <x v="184"/>
    <x v="389"/>
    <x v="54"/>
    <x v="404"/>
    <x v="119"/>
    <x v="362"/>
    <x v="3"/>
  </r>
  <r>
    <x v="0"/>
    <x v="35"/>
    <x v="35"/>
    <x v="13"/>
    <x v="13"/>
    <x v="13"/>
    <x v="17"/>
    <x v="184"/>
    <x v="389"/>
    <x v="128"/>
    <x v="405"/>
    <x v="83"/>
    <x v="367"/>
    <x v="3"/>
  </r>
  <r>
    <x v="0"/>
    <x v="35"/>
    <x v="35"/>
    <x v="25"/>
    <x v="25"/>
    <x v="25"/>
    <x v="19"/>
    <x v="185"/>
    <x v="390"/>
    <x v="51"/>
    <x v="403"/>
    <x v="119"/>
    <x v="362"/>
    <x v="3"/>
  </r>
  <r>
    <x v="0"/>
    <x v="35"/>
    <x v="35"/>
    <x v="16"/>
    <x v="16"/>
    <x v="16"/>
    <x v="19"/>
    <x v="185"/>
    <x v="390"/>
    <x v="79"/>
    <x v="88"/>
    <x v="117"/>
    <x v="102"/>
    <x v="3"/>
  </r>
  <r>
    <x v="0"/>
    <x v="35"/>
    <x v="35"/>
    <x v="21"/>
    <x v="21"/>
    <x v="21"/>
    <x v="19"/>
    <x v="185"/>
    <x v="390"/>
    <x v="79"/>
    <x v="88"/>
    <x v="83"/>
    <x v="367"/>
    <x v="0"/>
  </r>
  <r>
    <x v="0"/>
    <x v="36"/>
    <x v="36"/>
    <x v="0"/>
    <x v="0"/>
    <x v="0"/>
    <x v="0"/>
    <x v="92"/>
    <x v="391"/>
    <x v="68"/>
    <x v="406"/>
    <x v="126"/>
    <x v="154"/>
    <x v="3"/>
  </r>
  <r>
    <x v="0"/>
    <x v="36"/>
    <x v="36"/>
    <x v="3"/>
    <x v="3"/>
    <x v="3"/>
    <x v="1"/>
    <x v="157"/>
    <x v="392"/>
    <x v="91"/>
    <x v="161"/>
    <x v="75"/>
    <x v="371"/>
    <x v="3"/>
  </r>
  <r>
    <x v="0"/>
    <x v="36"/>
    <x v="36"/>
    <x v="6"/>
    <x v="6"/>
    <x v="6"/>
    <x v="1"/>
    <x v="157"/>
    <x v="392"/>
    <x v="111"/>
    <x v="407"/>
    <x v="116"/>
    <x v="372"/>
    <x v="3"/>
  </r>
  <r>
    <x v="0"/>
    <x v="36"/>
    <x v="36"/>
    <x v="2"/>
    <x v="2"/>
    <x v="2"/>
    <x v="3"/>
    <x v="146"/>
    <x v="393"/>
    <x v="90"/>
    <x v="408"/>
    <x v="94"/>
    <x v="267"/>
    <x v="3"/>
  </r>
  <r>
    <x v="0"/>
    <x v="36"/>
    <x v="36"/>
    <x v="5"/>
    <x v="5"/>
    <x v="5"/>
    <x v="4"/>
    <x v="140"/>
    <x v="184"/>
    <x v="66"/>
    <x v="409"/>
    <x v="120"/>
    <x v="54"/>
    <x v="3"/>
  </r>
  <r>
    <x v="0"/>
    <x v="36"/>
    <x v="36"/>
    <x v="8"/>
    <x v="8"/>
    <x v="8"/>
    <x v="5"/>
    <x v="150"/>
    <x v="301"/>
    <x v="52"/>
    <x v="33"/>
    <x v="117"/>
    <x v="373"/>
    <x v="3"/>
  </r>
  <r>
    <x v="0"/>
    <x v="36"/>
    <x v="36"/>
    <x v="7"/>
    <x v="7"/>
    <x v="7"/>
    <x v="5"/>
    <x v="150"/>
    <x v="301"/>
    <x v="76"/>
    <x v="115"/>
    <x v="120"/>
    <x v="54"/>
    <x v="3"/>
  </r>
  <r>
    <x v="0"/>
    <x v="36"/>
    <x v="36"/>
    <x v="1"/>
    <x v="1"/>
    <x v="1"/>
    <x v="5"/>
    <x v="150"/>
    <x v="301"/>
    <x v="98"/>
    <x v="294"/>
    <x v="121"/>
    <x v="101"/>
    <x v="3"/>
  </r>
  <r>
    <x v="0"/>
    <x v="36"/>
    <x v="36"/>
    <x v="4"/>
    <x v="4"/>
    <x v="4"/>
    <x v="8"/>
    <x v="155"/>
    <x v="29"/>
    <x v="52"/>
    <x v="33"/>
    <x v="119"/>
    <x v="0"/>
    <x v="3"/>
  </r>
  <r>
    <x v="0"/>
    <x v="36"/>
    <x v="36"/>
    <x v="16"/>
    <x v="16"/>
    <x v="16"/>
    <x v="8"/>
    <x v="155"/>
    <x v="29"/>
    <x v="79"/>
    <x v="88"/>
    <x v="111"/>
    <x v="374"/>
    <x v="3"/>
  </r>
  <r>
    <x v="0"/>
    <x v="36"/>
    <x v="36"/>
    <x v="14"/>
    <x v="14"/>
    <x v="14"/>
    <x v="8"/>
    <x v="155"/>
    <x v="29"/>
    <x v="108"/>
    <x v="278"/>
    <x v="121"/>
    <x v="101"/>
    <x v="3"/>
  </r>
  <r>
    <x v="0"/>
    <x v="36"/>
    <x v="36"/>
    <x v="28"/>
    <x v="28"/>
    <x v="28"/>
    <x v="11"/>
    <x v="185"/>
    <x v="303"/>
    <x v="128"/>
    <x v="410"/>
    <x v="113"/>
    <x v="5"/>
    <x v="3"/>
  </r>
  <r>
    <x v="0"/>
    <x v="36"/>
    <x v="36"/>
    <x v="25"/>
    <x v="25"/>
    <x v="25"/>
    <x v="11"/>
    <x v="185"/>
    <x v="303"/>
    <x v="128"/>
    <x v="410"/>
    <x v="113"/>
    <x v="5"/>
    <x v="3"/>
  </r>
  <r>
    <x v="0"/>
    <x v="36"/>
    <x v="36"/>
    <x v="19"/>
    <x v="19"/>
    <x v="19"/>
    <x v="13"/>
    <x v="186"/>
    <x v="328"/>
    <x v="79"/>
    <x v="88"/>
    <x v="83"/>
    <x v="375"/>
    <x v="3"/>
  </r>
  <r>
    <x v="0"/>
    <x v="36"/>
    <x v="36"/>
    <x v="18"/>
    <x v="18"/>
    <x v="18"/>
    <x v="14"/>
    <x v="187"/>
    <x v="244"/>
    <x v="89"/>
    <x v="137"/>
    <x v="119"/>
    <x v="0"/>
    <x v="3"/>
  </r>
  <r>
    <x v="0"/>
    <x v="36"/>
    <x v="36"/>
    <x v="20"/>
    <x v="20"/>
    <x v="20"/>
    <x v="14"/>
    <x v="187"/>
    <x v="244"/>
    <x v="51"/>
    <x v="8"/>
    <x v="121"/>
    <x v="101"/>
    <x v="3"/>
  </r>
  <r>
    <x v="0"/>
    <x v="36"/>
    <x v="36"/>
    <x v="13"/>
    <x v="13"/>
    <x v="13"/>
    <x v="14"/>
    <x v="187"/>
    <x v="244"/>
    <x v="128"/>
    <x v="410"/>
    <x v="120"/>
    <x v="54"/>
    <x v="3"/>
  </r>
  <r>
    <x v="0"/>
    <x v="36"/>
    <x v="36"/>
    <x v="37"/>
    <x v="37"/>
    <x v="37"/>
    <x v="17"/>
    <x v="188"/>
    <x v="17"/>
    <x v="54"/>
    <x v="411"/>
    <x v="125"/>
    <x v="220"/>
    <x v="3"/>
  </r>
  <r>
    <x v="0"/>
    <x v="36"/>
    <x v="36"/>
    <x v="22"/>
    <x v="22"/>
    <x v="22"/>
    <x v="17"/>
    <x v="188"/>
    <x v="17"/>
    <x v="51"/>
    <x v="8"/>
    <x v="126"/>
    <x v="154"/>
    <x v="3"/>
  </r>
  <r>
    <x v="0"/>
    <x v="36"/>
    <x v="36"/>
    <x v="9"/>
    <x v="9"/>
    <x v="9"/>
    <x v="17"/>
    <x v="188"/>
    <x v="17"/>
    <x v="51"/>
    <x v="8"/>
    <x v="126"/>
    <x v="154"/>
    <x v="3"/>
  </r>
  <r>
    <x v="0"/>
    <x v="36"/>
    <x v="36"/>
    <x v="52"/>
    <x v="52"/>
    <x v="52"/>
    <x v="17"/>
    <x v="188"/>
    <x v="17"/>
    <x v="128"/>
    <x v="410"/>
    <x v="121"/>
    <x v="101"/>
    <x v="3"/>
  </r>
  <r>
    <x v="0"/>
    <x v="36"/>
    <x v="36"/>
    <x v="21"/>
    <x v="21"/>
    <x v="21"/>
    <x v="17"/>
    <x v="188"/>
    <x v="17"/>
    <x v="89"/>
    <x v="137"/>
    <x v="120"/>
    <x v="54"/>
    <x v="3"/>
  </r>
  <r>
    <x v="0"/>
    <x v="37"/>
    <x v="37"/>
    <x v="1"/>
    <x v="1"/>
    <x v="1"/>
    <x v="0"/>
    <x v="144"/>
    <x v="394"/>
    <x v="95"/>
    <x v="412"/>
    <x v="114"/>
    <x v="163"/>
    <x v="0"/>
  </r>
  <r>
    <x v="0"/>
    <x v="37"/>
    <x v="37"/>
    <x v="5"/>
    <x v="5"/>
    <x v="5"/>
    <x v="1"/>
    <x v="130"/>
    <x v="395"/>
    <x v="49"/>
    <x v="413"/>
    <x v="111"/>
    <x v="376"/>
    <x v="0"/>
  </r>
  <r>
    <x v="0"/>
    <x v="37"/>
    <x v="37"/>
    <x v="0"/>
    <x v="0"/>
    <x v="0"/>
    <x v="2"/>
    <x v="89"/>
    <x v="396"/>
    <x v="36"/>
    <x v="414"/>
    <x v="121"/>
    <x v="276"/>
    <x v="3"/>
  </r>
  <r>
    <x v="0"/>
    <x v="37"/>
    <x v="37"/>
    <x v="2"/>
    <x v="2"/>
    <x v="2"/>
    <x v="3"/>
    <x v="118"/>
    <x v="397"/>
    <x v="115"/>
    <x v="415"/>
    <x v="95"/>
    <x v="377"/>
    <x v="3"/>
  </r>
  <r>
    <x v="0"/>
    <x v="37"/>
    <x v="37"/>
    <x v="3"/>
    <x v="3"/>
    <x v="3"/>
    <x v="4"/>
    <x v="146"/>
    <x v="398"/>
    <x v="76"/>
    <x v="132"/>
    <x v="110"/>
    <x v="378"/>
    <x v="3"/>
  </r>
  <r>
    <x v="0"/>
    <x v="37"/>
    <x v="37"/>
    <x v="7"/>
    <x v="7"/>
    <x v="7"/>
    <x v="5"/>
    <x v="139"/>
    <x v="399"/>
    <x v="76"/>
    <x v="132"/>
    <x v="117"/>
    <x v="379"/>
    <x v="3"/>
  </r>
  <r>
    <x v="0"/>
    <x v="37"/>
    <x v="37"/>
    <x v="16"/>
    <x v="16"/>
    <x v="16"/>
    <x v="6"/>
    <x v="153"/>
    <x v="400"/>
    <x v="79"/>
    <x v="88"/>
    <x v="124"/>
    <x v="380"/>
    <x v="0"/>
  </r>
  <r>
    <x v="0"/>
    <x v="37"/>
    <x v="37"/>
    <x v="4"/>
    <x v="4"/>
    <x v="4"/>
    <x v="7"/>
    <x v="140"/>
    <x v="401"/>
    <x v="98"/>
    <x v="416"/>
    <x v="119"/>
    <x v="76"/>
    <x v="3"/>
  </r>
  <r>
    <x v="0"/>
    <x v="37"/>
    <x v="37"/>
    <x v="6"/>
    <x v="6"/>
    <x v="6"/>
    <x v="8"/>
    <x v="183"/>
    <x v="11"/>
    <x v="37"/>
    <x v="355"/>
    <x v="117"/>
    <x v="379"/>
    <x v="3"/>
  </r>
  <r>
    <x v="0"/>
    <x v="37"/>
    <x v="37"/>
    <x v="18"/>
    <x v="18"/>
    <x v="18"/>
    <x v="9"/>
    <x v="155"/>
    <x v="250"/>
    <x v="128"/>
    <x v="153"/>
    <x v="117"/>
    <x v="379"/>
    <x v="0"/>
  </r>
  <r>
    <x v="0"/>
    <x v="37"/>
    <x v="37"/>
    <x v="10"/>
    <x v="10"/>
    <x v="10"/>
    <x v="9"/>
    <x v="155"/>
    <x v="250"/>
    <x v="16"/>
    <x v="211"/>
    <x v="126"/>
    <x v="381"/>
    <x v="3"/>
  </r>
  <r>
    <x v="0"/>
    <x v="37"/>
    <x v="37"/>
    <x v="13"/>
    <x v="13"/>
    <x v="13"/>
    <x v="9"/>
    <x v="155"/>
    <x v="250"/>
    <x v="54"/>
    <x v="417"/>
    <x v="83"/>
    <x v="275"/>
    <x v="3"/>
  </r>
  <r>
    <x v="0"/>
    <x v="37"/>
    <x v="37"/>
    <x v="8"/>
    <x v="8"/>
    <x v="8"/>
    <x v="12"/>
    <x v="184"/>
    <x v="122"/>
    <x v="52"/>
    <x v="418"/>
    <x v="121"/>
    <x v="276"/>
    <x v="3"/>
  </r>
  <r>
    <x v="0"/>
    <x v="37"/>
    <x v="37"/>
    <x v="19"/>
    <x v="19"/>
    <x v="19"/>
    <x v="12"/>
    <x v="184"/>
    <x v="122"/>
    <x v="51"/>
    <x v="272"/>
    <x v="113"/>
    <x v="382"/>
    <x v="3"/>
  </r>
  <r>
    <x v="0"/>
    <x v="37"/>
    <x v="37"/>
    <x v="25"/>
    <x v="25"/>
    <x v="25"/>
    <x v="12"/>
    <x v="184"/>
    <x v="122"/>
    <x v="54"/>
    <x v="417"/>
    <x v="119"/>
    <x v="76"/>
    <x v="3"/>
  </r>
  <r>
    <x v="0"/>
    <x v="37"/>
    <x v="37"/>
    <x v="14"/>
    <x v="14"/>
    <x v="14"/>
    <x v="12"/>
    <x v="184"/>
    <x v="122"/>
    <x v="37"/>
    <x v="355"/>
    <x v="120"/>
    <x v="383"/>
    <x v="3"/>
  </r>
  <r>
    <x v="0"/>
    <x v="37"/>
    <x v="37"/>
    <x v="32"/>
    <x v="32"/>
    <x v="32"/>
    <x v="16"/>
    <x v="186"/>
    <x v="74"/>
    <x v="51"/>
    <x v="272"/>
    <x v="121"/>
    <x v="276"/>
    <x v="0"/>
  </r>
  <r>
    <x v="0"/>
    <x v="37"/>
    <x v="37"/>
    <x v="22"/>
    <x v="22"/>
    <x v="22"/>
    <x v="17"/>
    <x v="187"/>
    <x v="402"/>
    <x v="79"/>
    <x v="88"/>
    <x v="113"/>
    <x v="382"/>
    <x v="3"/>
  </r>
  <r>
    <x v="0"/>
    <x v="37"/>
    <x v="37"/>
    <x v="35"/>
    <x v="35"/>
    <x v="35"/>
    <x v="18"/>
    <x v="188"/>
    <x v="403"/>
    <x v="79"/>
    <x v="88"/>
    <x v="119"/>
    <x v="76"/>
    <x v="3"/>
  </r>
  <r>
    <x v="0"/>
    <x v="37"/>
    <x v="37"/>
    <x v="53"/>
    <x v="53"/>
    <x v="53"/>
    <x v="18"/>
    <x v="188"/>
    <x v="403"/>
    <x v="79"/>
    <x v="88"/>
    <x v="119"/>
    <x v="76"/>
    <x v="3"/>
  </r>
  <r>
    <x v="0"/>
    <x v="37"/>
    <x v="37"/>
    <x v="9"/>
    <x v="9"/>
    <x v="9"/>
    <x v="18"/>
    <x v="188"/>
    <x v="403"/>
    <x v="51"/>
    <x v="272"/>
    <x v="126"/>
    <x v="381"/>
    <x v="3"/>
  </r>
  <r>
    <x v="0"/>
    <x v="37"/>
    <x v="37"/>
    <x v="11"/>
    <x v="11"/>
    <x v="11"/>
    <x v="18"/>
    <x v="188"/>
    <x v="403"/>
    <x v="51"/>
    <x v="272"/>
    <x v="125"/>
    <x v="220"/>
    <x v="3"/>
  </r>
  <r>
    <x v="0"/>
    <x v="38"/>
    <x v="38"/>
    <x v="3"/>
    <x v="3"/>
    <x v="3"/>
    <x v="0"/>
    <x v="118"/>
    <x v="404"/>
    <x v="97"/>
    <x v="419"/>
    <x v="115"/>
    <x v="384"/>
    <x v="3"/>
  </r>
  <r>
    <x v="0"/>
    <x v="38"/>
    <x v="38"/>
    <x v="0"/>
    <x v="0"/>
    <x v="0"/>
    <x v="1"/>
    <x v="158"/>
    <x v="405"/>
    <x v="78"/>
    <x v="420"/>
    <x v="125"/>
    <x v="220"/>
    <x v="3"/>
  </r>
  <r>
    <x v="0"/>
    <x v="38"/>
    <x v="38"/>
    <x v="2"/>
    <x v="2"/>
    <x v="2"/>
    <x v="2"/>
    <x v="137"/>
    <x v="406"/>
    <x v="35"/>
    <x v="421"/>
    <x v="114"/>
    <x v="385"/>
    <x v="3"/>
  </r>
  <r>
    <x v="0"/>
    <x v="38"/>
    <x v="38"/>
    <x v="1"/>
    <x v="1"/>
    <x v="1"/>
    <x v="3"/>
    <x v="149"/>
    <x v="407"/>
    <x v="111"/>
    <x v="422"/>
    <x v="120"/>
    <x v="213"/>
    <x v="3"/>
  </r>
  <r>
    <x v="0"/>
    <x v="38"/>
    <x v="38"/>
    <x v="5"/>
    <x v="5"/>
    <x v="5"/>
    <x v="4"/>
    <x v="141"/>
    <x v="113"/>
    <x v="76"/>
    <x v="29"/>
    <x v="119"/>
    <x v="386"/>
    <x v="3"/>
  </r>
  <r>
    <x v="0"/>
    <x v="38"/>
    <x v="38"/>
    <x v="8"/>
    <x v="8"/>
    <x v="8"/>
    <x v="5"/>
    <x v="183"/>
    <x v="408"/>
    <x v="51"/>
    <x v="423"/>
    <x v="94"/>
    <x v="387"/>
    <x v="3"/>
  </r>
  <r>
    <x v="0"/>
    <x v="38"/>
    <x v="38"/>
    <x v="9"/>
    <x v="9"/>
    <x v="9"/>
    <x v="5"/>
    <x v="183"/>
    <x v="408"/>
    <x v="76"/>
    <x v="29"/>
    <x v="125"/>
    <x v="220"/>
    <x v="3"/>
  </r>
  <r>
    <x v="0"/>
    <x v="38"/>
    <x v="38"/>
    <x v="11"/>
    <x v="11"/>
    <x v="11"/>
    <x v="5"/>
    <x v="183"/>
    <x v="408"/>
    <x v="76"/>
    <x v="29"/>
    <x v="121"/>
    <x v="243"/>
    <x v="3"/>
  </r>
  <r>
    <x v="0"/>
    <x v="38"/>
    <x v="38"/>
    <x v="16"/>
    <x v="16"/>
    <x v="16"/>
    <x v="5"/>
    <x v="183"/>
    <x v="408"/>
    <x v="79"/>
    <x v="88"/>
    <x v="111"/>
    <x v="361"/>
    <x v="0"/>
  </r>
  <r>
    <x v="0"/>
    <x v="38"/>
    <x v="38"/>
    <x v="7"/>
    <x v="7"/>
    <x v="7"/>
    <x v="9"/>
    <x v="154"/>
    <x v="295"/>
    <x v="16"/>
    <x v="22"/>
    <x v="121"/>
    <x v="243"/>
    <x v="3"/>
  </r>
  <r>
    <x v="0"/>
    <x v="38"/>
    <x v="38"/>
    <x v="14"/>
    <x v="14"/>
    <x v="14"/>
    <x v="9"/>
    <x v="154"/>
    <x v="295"/>
    <x v="16"/>
    <x v="22"/>
    <x v="121"/>
    <x v="243"/>
    <x v="3"/>
  </r>
  <r>
    <x v="0"/>
    <x v="38"/>
    <x v="38"/>
    <x v="18"/>
    <x v="18"/>
    <x v="18"/>
    <x v="11"/>
    <x v="155"/>
    <x v="28"/>
    <x v="89"/>
    <x v="424"/>
    <x v="94"/>
    <x v="387"/>
    <x v="3"/>
  </r>
  <r>
    <x v="0"/>
    <x v="38"/>
    <x v="38"/>
    <x v="6"/>
    <x v="6"/>
    <x v="6"/>
    <x v="12"/>
    <x v="184"/>
    <x v="249"/>
    <x v="108"/>
    <x v="425"/>
    <x v="125"/>
    <x v="220"/>
    <x v="3"/>
  </r>
  <r>
    <x v="0"/>
    <x v="38"/>
    <x v="38"/>
    <x v="19"/>
    <x v="19"/>
    <x v="19"/>
    <x v="13"/>
    <x v="185"/>
    <x v="409"/>
    <x v="89"/>
    <x v="424"/>
    <x v="83"/>
    <x v="388"/>
    <x v="3"/>
  </r>
  <r>
    <x v="0"/>
    <x v="38"/>
    <x v="38"/>
    <x v="4"/>
    <x v="4"/>
    <x v="4"/>
    <x v="13"/>
    <x v="185"/>
    <x v="409"/>
    <x v="37"/>
    <x v="372"/>
    <x v="121"/>
    <x v="243"/>
    <x v="3"/>
  </r>
  <r>
    <x v="0"/>
    <x v="38"/>
    <x v="38"/>
    <x v="20"/>
    <x v="20"/>
    <x v="20"/>
    <x v="15"/>
    <x v="186"/>
    <x v="222"/>
    <x v="37"/>
    <x v="372"/>
    <x v="126"/>
    <x v="244"/>
    <x v="3"/>
  </r>
  <r>
    <x v="0"/>
    <x v="38"/>
    <x v="38"/>
    <x v="13"/>
    <x v="13"/>
    <x v="13"/>
    <x v="15"/>
    <x v="186"/>
    <x v="222"/>
    <x v="51"/>
    <x v="423"/>
    <x v="120"/>
    <x v="213"/>
    <x v="3"/>
  </r>
  <r>
    <x v="0"/>
    <x v="38"/>
    <x v="38"/>
    <x v="51"/>
    <x v="51"/>
    <x v="51"/>
    <x v="17"/>
    <x v="187"/>
    <x v="15"/>
    <x v="51"/>
    <x v="423"/>
    <x v="121"/>
    <x v="243"/>
    <x v="3"/>
  </r>
  <r>
    <x v="0"/>
    <x v="38"/>
    <x v="38"/>
    <x v="52"/>
    <x v="52"/>
    <x v="52"/>
    <x v="17"/>
    <x v="187"/>
    <x v="15"/>
    <x v="51"/>
    <x v="423"/>
    <x v="121"/>
    <x v="243"/>
    <x v="3"/>
  </r>
  <r>
    <x v="0"/>
    <x v="38"/>
    <x v="38"/>
    <x v="37"/>
    <x v="37"/>
    <x v="37"/>
    <x v="19"/>
    <x v="188"/>
    <x v="124"/>
    <x v="51"/>
    <x v="423"/>
    <x v="126"/>
    <x v="244"/>
    <x v="3"/>
  </r>
  <r>
    <x v="0"/>
    <x v="38"/>
    <x v="38"/>
    <x v="25"/>
    <x v="25"/>
    <x v="25"/>
    <x v="19"/>
    <x v="188"/>
    <x v="124"/>
    <x v="89"/>
    <x v="424"/>
    <x v="120"/>
    <x v="213"/>
    <x v="3"/>
  </r>
  <r>
    <x v="0"/>
    <x v="38"/>
    <x v="38"/>
    <x v="12"/>
    <x v="12"/>
    <x v="12"/>
    <x v="19"/>
    <x v="188"/>
    <x v="124"/>
    <x v="128"/>
    <x v="426"/>
    <x v="121"/>
    <x v="243"/>
    <x v="3"/>
  </r>
  <r>
    <x v="0"/>
    <x v="38"/>
    <x v="38"/>
    <x v="21"/>
    <x v="21"/>
    <x v="21"/>
    <x v="19"/>
    <x v="188"/>
    <x v="124"/>
    <x v="89"/>
    <x v="424"/>
    <x v="120"/>
    <x v="213"/>
    <x v="3"/>
  </r>
  <r>
    <x v="0"/>
    <x v="39"/>
    <x v="39"/>
    <x v="0"/>
    <x v="0"/>
    <x v="0"/>
    <x v="0"/>
    <x v="84"/>
    <x v="335"/>
    <x v="147"/>
    <x v="427"/>
    <x v="83"/>
    <x v="198"/>
    <x v="3"/>
  </r>
  <r>
    <x v="0"/>
    <x v="39"/>
    <x v="39"/>
    <x v="2"/>
    <x v="2"/>
    <x v="2"/>
    <x v="1"/>
    <x v="136"/>
    <x v="410"/>
    <x v="115"/>
    <x v="338"/>
    <x v="72"/>
    <x v="389"/>
    <x v="3"/>
  </r>
  <r>
    <x v="0"/>
    <x v="39"/>
    <x v="39"/>
    <x v="5"/>
    <x v="5"/>
    <x v="5"/>
    <x v="2"/>
    <x v="158"/>
    <x v="411"/>
    <x v="38"/>
    <x v="428"/>
    <x v="114"/>
    <x v="326"/>
    <x v="3"/>
  </r>
  <r>
    <x v="0"/>
    <x v="39"/>
    <x v="39"/>
    <x v="3"/>
    <x v="3"/>
    <x v="3"/>
    <x v="3"/>
    <x v="137"/>
    <x v="412"/>
    <x v="91"/>
    <x v="429"/>
    <x v="116"/>
    <x v="390"/>
    <x v="3"/>
  </r>
  <r>
    <x v="0"/>
    <x v="39"/>
    <x v="39"/>
    <x v="1"/>
    <x v="1"/>
    <x v="1"/>
    <x v="3"/>
    <x v="137"/>
    <x v="412"/>
    <x v="46"/>
    <x v="430"/>
    <x v="126"/>
    <x v="87"/>
    <x v="3"/>
  </r>
  <r>
    <x v="0"/>
    <x v="39"/>
    <x v="39"/>
    <x v="8"/>
    <x v="8"/>
    <x v="8"/>
    <x v="5"/>
    <x v="138"/>
    <x v="413"/>
    <x v="54"/>
    <x v="431"/>
    <x v="116"/>
    <x v="390"/>
    <x v="3"/>
  </r>
  <r>
    <x v="0"/>
    <x v="39"/>
    <x v="39"/>
    <x v="7"/>
    <x v="7"/>
    <x v="7"/>
    <x v="6"/>
    <x v="150"/>
    <x v="116"/>
    <x v="16"/>
    <x v="432"/>
    <x v="119"/>
    <x v="262"/>
    <x v="3"/>
  </r>
  <r>
    <x v="0"/>
    <x v="39"/>
    <x v="39"/>
    <x v="6"/>
    <x v="6"/>
    <x v="6"/>
    <x v="7"/>
    <x v="183"/>
    <x v="159"/>
    <x v="16"/>
    <x v="432"/>
    <x v="120"/>
    <x v="36"/>
    <x v="3"/>
  </r>
  <r>
    <x v="0"/>
    <x v="39"/>
    <x v="39"/>
    <x v="16"/>
    <x v="16"/>
    <x v="16"/>
    <x v="7"/>
    <x v="183"/>
    <x v="159"/>
    <x v="79"/>
    <x v="88"/>
    <x v="124"/>
    <x v="391"/>
    <x v="3"/>
  </r>
  <r>
    <x v="0"/>
    <x v="39"/>
    <x v="39"/>
    <x v="14"/>
    <x v="14"/>
    <x v="14"/>
    <x v="7"/>
    <x v="183"/>
    <x v="159"/>
    <x v="37"/>
    <x v="334"/>
    <x v="117"/>
    <x v="128"/>
    <x v="3"/>
  </r>
  <r>
    <x v="0"/>
    <x v="39"/>
    <x v="39"/>
    <x v="11"/>
    <x v="11"/>
    <x v="11"/>
    <x v="10"/>
    <x v="154"/>
    <x v="414"/>
    <x v="16"/>
    <x v="432"/>
    <x v="121"/>
    <x v="56"/>
    <x v="3"/>
  </r>
  <r>
    <x v="0"/>
    <x v="39"/>
    <x v="39"/>
    <x v="12"/>
    <x v="12"/>
    <x v="12"/>
    <x v="11"/>
    <x v="184"/>
    <x v="71"/>
    <x v="37"/>
    <x v="334"/>
    <x v="120"/>
    <x v="36"/>
    <x v="3"/>
  </r>
  <r>
    <x v="0"/>
    <x v="39"/>
    <x v="39"/>
    <x v="4"/>
    <x v="4"/>
    <x v="4"/>
    <x v="12"/>
    <x v="185"/>
    <x v="415"/>
    <x v="51"/>
    <x v="433"/>
    <x v="119"/>
    <x v="262"/>
    <x v="3"/>
  </r>
  <r>
    <x v="0"/>
    <x v="39"/>
    <x v="39"/>
    <x v="9"/>
    <x v="9"/>
    <x v="9"/>
    <x v="13"/>
    <x v="186"/>
    <x v="165"/>
    <x v="51"/>
    <x v="433"/>
    <x v="126"/>
    <x v="87"/>
    <x v="0"/>
  </r>
  <r>
    <x v="0"/>
    <x v="39"/>
    <x v="39"/>
    <x v="18"/>
    <x v="18"/>
    <x v="18"/>
    <x v="14"/>
    <x v="187"/>
    <x v="416"/>
    <x v="79"/>
    <x v="88"/>
    <x v="119"/>
    <x v="262"/>
    <x v="0"/>
  </r>
  <r>
    <x v="0"/>
    <x v="39"/>
    <x v="39"/>
    <x v="51"/>
    <x v="51"/>
    <x v="51"/>
    <x v="14"/>
    <x v="187"/>
    <x v="416"/>
    <x v="37"/>
    <x v="334"/>
    <x v="125"/>
    <x v="220"/>
    <x v="3"/>
  </r>
  <r>
    <x v="0"/>
    <x v="39"/>
    <x v="39"/>
    <x v="25"/>
    <x v="25"/>
    <x v="25"/>
    <x v="14"/>
    <x v="187"/>
    <x v="416"/>
    <x v="128"/>
    <x v="393"/>
    <x v="120"/>
    <x v="36"/>
    <x v="3"/>
  </r>
  <r>
    <x v="0"/>
    <x v="39"/>
    <x v="39"/>
    <x v="32"/>
    <x v="32"/>
    <x v="32"/>
    <x v="14"/>
    <x v="187"/>
    <x v="416"/>
    <x v="128"/>
    <x v="393"/>
    <x v="120"/>
    <x v="36"/>
    <x v="3"/>
  </r>
  <r>
    <x v="0"/>
    <x v="39"/>
    <x v="39"/>
    <x v="34"/>
    <x v="34"/>
    <x v="34"/>
    <x v="18"/>
    <x v="188"/>
    <x v="152"/>
    <x v="89"/>
    <x v="150"/>
    <x v="120"/>
    <x v="36"/>
    <x v="3"/>
  </r>
  <r>
    <x v="0"/>
    <x v="39"/>
    <x v="39"/>
    <x v="42"/>
    <x v="42"/>
    <x v="42"/>
    <x v="18"/>
    <x v="188"/>
    <x v="152"/>
    <x v="79"/>
    <x v="88"/>
    <x v="119"/>
    <x v="262"/>
    <x v="3"/>
  </r>
  <r>
    <x v="0"/>
    <x v="40"/>
    <x v="40"/>
    <x v="0"/>
    <x v="0"/>
    <x v="0"/>
    <x v="0"/>
    <x v="183"/>
    <x v="355"/>
    <x v="66"/>
    <x v="434"/>
    <x v="125"/>
    <x v="220"/>
    <x v="3"/>
  </r>
  <r>
    <x v="0"/>
    <x v="40"/>
    <x v="40"/>
    <x v="5"/>
    <x v="5"/>
    <x v="5"/>
    <x v="1"/>
    <x v="185"/>
    <x v="417"/>
    <x v="51"/>
    <x v="435"/>
    <x v="119"/>
    <x v="392"/>
    <x v="3"/>
  </r>
  <r>
    <x v="0"/>
    <x v="40"/>
    <x v="40"/>
    <x v="3"/>
    <x v="3"/>
    <x v="3"/>
    <x v="2"/>
    <x v="187"/>
    <x v="218"/>
    <x v="89"/>
    <x v="436"/>
    <x v="119"/>
    <x v="392"/>
    <x v="3"/>
  </r>
  <r>
    <x v="0"/>
    <x v="40"/>
    <x v="40"/>
    <x v="8"/>
    <x v="8"/>
    <x v="8"/>
    <x v="2"/>
    <x v="187"/>
    <x v="218"/>
    <x v="128"/>
    <x v="437"/>
    <x v="120"/>
    <x v="393"/>
    <x v="3"/>
  </r>
  <r>
    <x v="0"/>
    <x v="40"/>
    <x v="40"/>
    <x v="36"/>
    <x v="36"/>
    <x v="36"/>
    <x v="2"/>
    <x v="187"/>
    <x v="218"/>
    <x v="79"/>
    <x v="88"/>
    <x v="113"/>
    <x v="394"/>
    <x v="3"/>
  </r>
  <r>
    <x v="0"/>
    <x v="40"/>
    <x v="40"/>
    <x v="7"/>
    <x v="7"/>
    <x v="7"/>
    <x v="2"/>
    <x v="187"/>
    <x v="218"/>
    <x v="51"/>
    <x v="435"/>
    <x v="121"/>
    <x v="395"/>
    <x v="3"/>
  </r>
  <r>
    <x v="0"/>
    <x v="40"/>
    <x v="40"/>
    <x v="1"/>
    <x v="1"/>
    <x v="1"/>
    <x v="6"/>
    <x v="188"/>
    <x v="418"/>
    <x v="54"/>
    <x v="438"/>
    <x v="125"/>
    <x v="220"/>
    <x v="3"/>
  </r>
  <r>
    <x v="0"/>
    <x v="40"/>
    <x v="40"/>
    <x v="11"/>
    <x v="11"/>
    <x v="11"/>
    <x v="6"/>
    <x v="188"/>
    <x v="418"/>
    <x v="54"/>
    <x v="438"/>
    <x v="125"/>
    <x v="220"/>
    <x v="3"/>
  </r>
  <r>
    <x v="0"/>
    <x v="40"/>
    <x v="40"/>
    <x v="14"/>
    <x v="14"/>
    <x v="14"/>
    <x v="8"/>
    <x v="189"/>
    <x v="248"/>
    <x v="51"/>
    <x v="435"/>
    <x v="125"/>
    <x v="220"/>
    <x v="3"/>
  </r>
  <r>
    <x v="0"/>
    <x v="40"/>
    <x v="40"/>
    <x v="6"/>
    <x v="6"/>
    <x v="6"/>
    <x v="9"/>
    <x v="190"/>
    <x v="419"/>
    <x v="128"/>
    <x v="437"/>
    <x v="125"/>
    <x v="220"/>
    <x v="3"/>
  </r>
  <r>
    <x v="0"/>
    <x v="40"/>
    <x v="40"/>
    <x v="18"/>
    <x v="18"/>
    <x v="18"/>
    <x v="9"/>
    <x v="190"/>
    <x v="419"/>
    <x v="128"/>
    <x v="437"/>
    <x v="125"/>
    <x v="220"/>
    <x v="3"/>
  </r>
  <r>
    <x v="0"/>
    <x v="40"/>
    <x v="40"/>
    <x v="28"/>
    <x v="28"/>
    <x v="28"/>
    <x v="9"/>
    <x v="190"/>
    <x v="419"/>
    <x v="79"/>
    <x v="88"/>
    <x v="121"/>
    <x v="395"/>
    <x v="3"/>
  </r>
  <r>
    <x v="0"/>
    <x v="40"/>
    <x v="40"/>
    <x v="2"/>
    <x v="2"/>
    <x v="2"/>
    <x v="9"/>
    <x v="190"/>
    <x v="419"/>
    <x v="79"/>
    <x v="88"/>
    <x v="121"/>
    <x v="395"/>
    <x v="3"/>
  </r>
  <r>
    <x v="0"/>
    <x v="40"/>
    <x v="40"/>
    <x v="23"/>
    <x v="23"/>
    <x v="23"/>
    <x v="9"/>
    <x v="190"/>
    <x v="419"/>
    <x v="79"/>
    <x v="88"/>
    <x v="121"/>
    <x v="395"/>
    <x v="3"/>
  </r>
  <r>
    <x v="0"/>
    <x v="40"/>
    <x v="40"/>
    <x v="9"/>
    <x v="9"/>
    <x v="9"/>
    <x v="9"/>
    <x v="190"/>
    <x v="419"/>
    <x v="79"/>
    <x v="88"/>
    <x v="126"/>
    <x v="396"/>
    <x v="3"/>
  </r>
  <r>
    <x v="0"/>
    <x v="40"/>
    <x v="40"/>
    <x v="35"/>
    <x v="35"/>
    <x v="35"/>
    <x v="15"/>
    <x v="191"/>
    <x v="137"/>
    <x v="89"/>
    <x v="436"/>
    <x v="125"/>
    <x v="220"/>
    <x v="3"/>
  </r>
  <r>
    <x v="0"/>
    <x v="40"/>
    <x v="40"/>
    <x v="54"/>
    <x v="54"/>
    <x v="54"/>
    <x v="15"/>
    <x v="191"/>
    <x v="137"/>
    <x v="79"/>
    <x v="88"/>
    <x v="126"/>
    <x v="396"/>
    <x v="3"/>
  </r>
  <r>
    <x v="0"/>
    <x v="40"/>
    <x v="40"/>
    <x v="30"/>
    <x v="30"/>
    <x v="30"/>
    <x v="15"/>
    <x v="191"/>
    <x v="137"/>
    <x v="89"/>
    <x v="436"/>
    <x v="125"/>
    <x v="220"/>
    <x v="3"/>
  </r>
  <r>
    <x v="0"/>
    <x v="40"/>
    <x v="40"/>
    <x v="51"/>
    <x v="51"/>
    <x v="51"/>
    <x v="15"/>
    <x v="191"/>
    <x v="137"/>
    <x v="89"/>
    <x v="436"/>
    <x v="125"/>
    <x v="220"/>
    <x v="3"/>
  </r>
  <r>
    <x v="0"/>
    <x v="40"/>
    <x v="40"/>
    <x v="39"/>
    <x v="39"/>
    <x v="39"/>
    <x v="15"/>
    <x v="191"/>
    <x v="137"/>
    <x v="79"/>
    <x v="88"/>
    <x v="125"/>
    <x v="220"/>
    <x v="3"/>
  </r>
  <r>
    <x v="0"/>
    <x v="40"/>
    <x v="40"/>
    <x v="50"/>
    <x v="50"/>
    <x v="50"/>
    <x v="15"/>
    <x v="191"/>
    <x v="137"/>
    <x v="79"/>
    <x v="88"/>
    <x v="126"/>
    <x v="396"/>
    <x v="3"/>
  </r>
  <r>
    <x v="0"/>
    <x v="40"/>
    <x v="40"/>
    <x v="55"/>
    <x v="55"/>
    <x v="55"/>
    <x v="15"/>
    <x v="191"/>
    <x v="137"/>
    <x v="79"/>
    <x v="88"/>
    <x v="126"/>
    <x v="396"/>
    <x v="3"/>
  </r>
  <r>
    <x v="0"/>
    <x v="40"/>
    <x v="40"/>
    <x v="19"/>
    <x v="19"/>
    <x v="19"/>
    <x v="15"/>
    <x v="191"/>
    <x v="137"/>
    <x v="79"/>
    <x v="88"/>
    <x v="126"/>
    <x v="396"/>
    <x v="3"/>
  </r>
  <r>
    <x v="0"/>
    <x v="40"/>
    <x v="40"/>
    <x v="25"/>
    <x v="25"/>
    <x v="25"/>
    <x v="15"/>
    <x v="191"/>
    <x v="137"/>
    <x v="89"/>
    <x v="436"/>
    <x v="125"/>
    <x v="220"/>
    <x v="3"/>
  </r>
  <r>
    <x v="0"/>
    <x v="40"/>
    <x v="40"/>
    <x v="12"/>
    <x v="12"/>
    <x v="12"/>
    <x v="15"/>
    <x v="191"/>
    <x v="137"/>
    <x v="79"/>
    <x v="88"/>
    <x v="126"/>
    <x v="396"/>
    <x v="3"/>
  </r>
  <r>
    <x v="0"/>
    <x v="40"/>
    <x v="40"/>
    <x v="15"/>
    <x v="15"/>
    <x v="15"/>
    <x v="15"/>
    <x v="191"/>
    <x v="137"/>
    <x v="89"/>
    <x v="436"/>
    <x v="125"/>
    <x v="220"/>
    <x v="3"/>
  </r>
  <r>
    <x v="0"/>
    <x v="40"/>
    <x v="40"/>
    <x v="43"/>
    <x v="43"/>
    <x v="43"/>
    <x v="15"/>
    <x v="191"/>
    <x v="137"/>
    <x v="79"/>
    <x v="88"/>
    <x v="126"/>
    <x v="396"/>
    <x v="3"/>
  </r>
  <r>
    <x v="0"/>
    <x v="40"/>
    <x v="40"/>
    <x v="10"/>
    <x v="10"/>
    <x v="10"/>
    <x v="15"/>
    <x v="191"/>
    <x v="137"/>
    <x v="79"/>
    <x v="88"/>
    <x v="126"/>
    <x v="396"/>
    <x v="3"/>
  </r>
  <r>
    <x v="0"/>
    <x v="40"/>
    <x v="40"/>
    <x v="44"/>
    <x v="44"/>
    <x v="44"/>
    <x v="15"/>
    <x v="191"/>
    <x v="137"/>
    <x v="79"/>
    <x v="88"/>
    <x v="125"/>
    <x v="220"/>
    <x v="3"/>
  </r>
  <r>
    <x v="0"/>
    <x v="40"/>
    <x v="40"/>
    <x v="21"/>
    <x v="21"/>
    <x v="21"/>
    <x v="15"/>
    <x v="191"/>
    <x v="137"/>
    <x v="79"/>
    <x v="88"/>
    <x v="126"/>
    <x v="396"/>
    <x v="3"/>
  </r>
  <r>
    <x v="0"/>
    <x v="40"/>
    <x v="40"/>
    <x v="33"/>
    <x v="33"/>
    <x v="33"/>
    <x v="15"/>
    <x v="191"/>
    <x v="137"/>
    <x v="79"/>
    <x v="88"/>
    <x v="125"/>
    <x v="220"/>
    <x v="3"/>
  </r>
  <r>
    <x v="0"/>
    <x v="41"/>
    <x v="41"/>
    <x v="0"/>
    <x v="0"/>
    <x v="0"/>
    <x v="0"/>
    <x v="152"/>
    <x v="125"/>
    <x v="121"/>
    <x v="439"/>
    <x v="83"/>
    <x v="397"/>
    <x v="3"/>
  </r>
  <r>
    <x v="0"/>
    <x v="41"/>
    <x v="41"/>
    <x v="2"/>
    <x v="2"/>
    <x v="2"/>
    <x v="1"/>
    <x v="149"/>
    <x v="420"/>
    <x v="37"/>
    <x v="440"/>
    <x v="116"/>
    <x v="398"/>
    <x v="3"/>
  </r>
  <r>
    <x v="0"/>
    <x v="41"/>
    <x v="41"/>
    <x v="5"/>
    <x v="5"/>
    <x v="5"/>
    <x v="2"/>
    <x v="139"/>
    <x v="227"/>
    <x v="76"/>
    <x v="441"/>
    <x v="117"/>
    <x v="399"/>
    <x v="3"/>
  </r>
  <r>
    <x v="0"/>
    <x v="41"/>
    <x v="41"/>
    <x v="1"/>
    <x v="1"/>
    <x v="1"/>
    <x v="2"/>
    <x v="139"/>
    <x v="227"/>
    <x v="115"/>
    <x v="442"/>
    <x v="121"/>
    <x v="117"/>
    <x v="3"/>
  </r>
  <r>
    <x v="0"/>
    <x v="41"/>
    <x v="41"/>
    <x v="3"/>
    <x v="3"/>
    <x v="3"/>
    <x v="4"/>
    <x v="140"/>
    <x v="171"/>
    <x v="54"/>
    <x v="443"/>
    <x v="86"/>
    <x v="228"/>
    <x v="3"/>
  </r>
  <r>
    <x v="0"/>
    <x v="41"/>
    <x v="41"/>
    <x v="7"/>
    <x v="7"/>
    <x v="7"/>
    <x v="5"/>
    <x v="150"/>
    <x v="353"/>
    <x v="76"/>
    <x v="441"/>
    <x v="120"/>
    <x v="0"/>
    <x v="3"/>
  </r>
  <r>
    <x v="0"/>
    <x v="41"/>
    <x v="41"/>
    <x v="11"/>
    <x v="11"/>
    <x v="11"/>
    <x v="6"/>
    <x v="183"/>
    <x v="96"/>
    <x v="16"/>
    <x v="435"/>
    <x v="120"/>
    <x v="0"/>
    <x v="3"/>
  </r>
  <r>
    <x v="0"/>
    <x v="41"/>
    <x v="41"/>
    <x v="12"/>
    <x v="12"/>
    <x v="12"/>
    <x v="7"/>
    <x v="154"/>
    <x v="421"/>
    <x v="128"/>
    <x v="54"/>
    <x v="94"/>
    <x v="400"/>
    <x v="3"/>
  </r>
  <r>
    <x v="0"/>
    <x v="41"/>
    <x v="41"/>
    <x v="22"/>
    <x v="22"/>
    <x v="22"/>
    <x v="8"/>
    <x v="156"/>
    <x v="185"/>
    <x v="51"/>
    <x v="436"/>
    <x v="83"/>
    <x v="397"/>
    <x v="3"/>
  </r>
  <r>
    <x v="0"/>
    <x v="41"/>
    <x v="41"/>
    <x v="14"/>
    <x v="14"/>
    <x v="14"/>
    <x v="9"/>
    <x v="184"/>
    <x v="145"/>
    <x v="108"/>
    <x v="444"/>
    <x v="125"/>
    <x v="220"/>
    <x v="3"/>
  </r>
  <r>
    <x v="0"/>
    <x v="41"/>
    <x v="41"/>
    <x v="13"/>
    <x v="13"/>
    <x v="13"/>
    <x v="10"/>
    <x v="185"/>
    <x v="31"/>
    <x v="54"/>
    <x v="443"/>
    <x v="120"/>
    <x v="0"/>
    <x v="3"/>
  </r>
  <r>
    <x v="0"/>
    <x v="41"/>
    <x v="41"/>
    <x v="6"/>
    <x v="6"/>
    <x v="6"/>
    <x v="11"/>
    <x v="186"/>
    <x v="422"/>
    <x v="128"/>
    <x v="54"/>
    <x v="119"/>
    <x v="401"/>
    <x v="3"/>
  </r>
  <r>
    <x v="0"/>
    <x v="41"/>
    <x v="41"/>
    <x v="8"/>
    <x v="8"/>
    <x v="8"/>
    <x v="11"/>
    <x v="186"/>
    <x v="422"/>
    <x v="54"/>
    <x v="443"/>
    <x v="121"/>
    <x v="117"/>
    <x v="3"/>
  </r>
  <r>
    <x v="0"/>
    <x v="41"/>
    <x v="41"/>
    <x v="34"/>
    <x v="34"/>
    <x v="34"/>
    <x v="11"/>
    <x v="186"/>
    <x v="422"/>
    <x v="54"/>
    <x v="443"/>
    <x v="121"/>
    <x v="117"/>
    <x v="3"/>
  </r>
  <r>
    <x v="0"/>
    <x v="41"/>
    <x v="41"/>
    <x v="51"/>
    <x v="51"/>
    <x v="51"/>
    <x v="14"/>
    <x v="187"/>
    <x v="175"/>
    <x v="54"/>
    <x v="443"/>
    <x v="126"/>
    <x v="116"/>
    <x v="3"/>
  </r>
  <r>
    <x v="0"/>
    <x v="41"/>
    <x v="41"/>
    <x v="18"/>
    <x v="18"/>
    <x v="18"/>
    <x v="15"/>
    <x v="188"/>
    <x v="262"/>
    <x v="51"/>
    <x v="436"/>
    <x v="126"/>
    <x v="116"/>
    <x v="3"/>
  </r>
  <r>
    <x v="0"/>
    <x v="41"/>
    <x v="41"/>
    <x v="25"/>
    <x v="25"/>
    <x v="25"/>
    <x v="15"/>
    <x v="188"/>
    <x v="262"/>
    <x v="128"/>
    <x v="54"/>
    <x v="121"/>
    <x v="117"/>
    <x v="3"/>
  </r>
  <r>
    <x v="0"/>
    <x v="41"/>
    <x v="41"/>
    <x v="9"/>
    <x v="9"/>
    <x v="9"/>
    <x v="15"/>
    <x v="188"/>
    <x v="262"/>
    <x v="51"/>
    <x v="436"/>
    <x v="125"/>
    <x v="220"/>
    <x v="3"/>
  </r>
  <r>
    <x v="0"/>
    <x v="41"/>
    <x v="41"/>
    <x v="17"/>
    <x v="17"/>
    <x v="17"/>
    <x v="18"/>
    <x v="189"/>
    <x v="39"/>
    <x v="79"/>
    <x v="88"/>
    <x v="120"/>
    <x v="0"/>
    <x v="3"/>
  </r>
  <r>
    <x v="0"/>
    <x v="41"/>
    <x v="41"/>
    <x v="24"/>
    <x v="24"/>
    <x v="24"/>
    <x v="18"/>
    <x v="189"/>
    <x v="39"/>
    <x v="89"/>
    <x v="445"/>
    <x v="121"/>
    <x v="117"/>
    <x v="3"/>
  </r>
  <r>
    <x v="0"/>
    <x v="41"/>
    <x v="41"/>
    <x v="4"/>
    <x v="4"/>
    <x v="4"/>
    <x v="18"/>
    <x v="189"/>
    <x v="39"/>
    <x v="79"/>
    <x v="88"/>
    <x v="120"/>
    <x v="0"/>
    <x v="3"/>
  </r>
  <r>
    <x v="0"/>
    <x v="41"/>
    <x v="41"/>
    <x v="10"/>
    <x v="10"/>
    <x v="10"/>
    <x v="18"/>
    <x v="189"/>
    <x v="39"/>
    <x v="128"/>
    <x v="54"/>
    <x v="126"/>
    <x v="116"/>
    <x v="3"/>
  </r>
  <r>
    <x v="0"/>
    <x v="41"/>
    <x v="41"/>
    <x v="32"/>
    <x v="32"/>
    <x v="32"/>
    <x v="18"/>
    <x v="189"/>
    <x v="39"/>
    <x v="128"/>
    <x v="54"/>
    <x v="126"/>
    <x v="116"/>
    <x v="3"/>
  </r>
  <r>
    <x v="0"/>
    <x v="41"/>
    <x v="41"/>
    <x v="27"/>
    <x v="27"/>
    <x v="27"/>
    <x v="18"/>
    <x v="189"/>
    <x v="39"/>
    <x v="89"/>
    <x v="445"/>
    <x v="126"/>
    <x v="116"/>
    <x v="3"/>
  </r>
  <r>
    <x v="0"/>
    <x v="42"/>
    <x v="42"/>
    <x v="0"/>
    <x v="0"/>
    <x v="0"/>
    <x v="0"/>
    <x v="134"/>
    <x v="423"/>
    <x v="86"/>
    <x v="446"/>
    <x v="121"/>
    <x v="258"/>
    <x v="3"/>
  </r>
  <r>
    <x v="0"/>
    <x v="42"/>
    <x v="42"/>
    <x v="1"/>
    <x v="1"/>
    <x v="1"/>
    <x v="1"/>
    <x v="106"/>
    <x v="424"/>
    <x v="71"/>
    <x v="447"/>
    <x v="125"/>
    <x v="220"/>
    <x v="3"/>
  </r>
  <r>
    <x v="0"/>
    <x v="42"/>
    <x v="42"/>
    <x v="2"/>
    <x v="2"/>
    <x v="2"/>
    <x v="2"/>
    <x v="158"/>
    <x v="425"/>
    <x v="35"/>
    <x v="240"/>
    <x v="124"/>
    <x v="402"/>
    <x v="3"/>
  </r>
  <r>
    <x v="0"/>
    <x v="42"/>
    <x v="42"/>
    <x v="3"/>
    <x v="3"/>
    <x v="3"/>
    <x v="3"/>
    <x v="154"/>
    <x v="426"/>
    <x v="52"/>
    <x v="196"/>
    <x v="113"/>
    <x v="403"/>
    <x v="3"/>
  </r>
  <r>
    <x v="0"/>
    <x v="42"/>
    <x v="42"/>
    <x v="6"/>
    <x v="6"/>
    <x v="6"/>
    <x v="3"/>
    <x v="154"/>
    <x v="426"/>
    <x v="108"/>
    <x v="7"/>
    <x v="120"/>
    <x v="404"/>
    <x v="3"/>
  </r>
  <r>
    <x v="0"/>
    <x v="42"/>
    <x v="42"/>
    <x v="7"/>
    <x v="7"/>
    <x v="7"/>
    <x v="5"/>
    <x v="155"/>
    <x v="248"/>
    <x v="54"/>
    <x v="146"/>
    <x v="83"/>
    <x v="265"/>
    <x v="3"/>
  </r>
  <r>
    <x v="0"/>
    <x v="42"/>
    <x v="42"/>
    <x v="13"/>
    <x v="13"/>
    <x v="13"/>
    <x v="5"/>
    <x v="155"/>
    <x v="248"/>
    <x v="16"/>
    <x v="448"/>
    <x v="126"/>
    <x v="260"/>
    <x v="3"/>
  </r>
  <r>
    <x v="0"/>
    <x v="42"/>
    <x v="42"/>
    <x v="5"/>
    <x v="5"/>
    <x v="5"/>
    <x v="7"/>
    <x v="156"/>
    <x v="427"/>
    <x v="52"/>
    <x v="196"/>
    <x v="120"/>
    <x v="404"/>
    <x v="3"/>
  </r>
  <r>
    <x v="0"/>
    <x v="42"/>
    <x v="42"/>
    <x v="9"/>
    <x v="9"/>
    <x v="9"/>
    <x v="8"/>
    <x v="184"/>
    <x v="428"/>
    <x v="54"/>
    <x v="146"/>
    <x v="121"/>
    <x v="258"/>
    <x v="0"/>
  </r>
  <r>
    <x v="0"/>
    <x v="42"/>
    <x v="42"/>
    <x v="8"/>
    <x v="8"/>
    <x v="8"/>
    <x v="9"/>
    <x v="185"/>
    <x v="429"/>
    <x v="128"/>
    <x v="152"/>
    <x v="113"/>
    <x v="403"/>
    <x v="3"/>
  </r>
  <r>
    <x v="0"/>
    <x v="42"/>
    <x v="42"/>
    <x v="18"/>
    <x v="18"/>
    <x v="18"/>
    <x v="10"/>
    <x v="186"/>
    <x v="430"/>
    <x v="54"/>
    <x v="146"/>
    <x v="121"/>
    <x v="258"/>
    <x v="3"/>
  </r>
  <r>
    <x v="0"/>
    <x v="42"/>
    <x v="42"/>
    <x v="35"/>
    <x v="35"/>
    <x v="35"/>
    <x v="10"/>
    <x v="186"/>
    <x v="430"/>
    <x v="128"/>
    <x v="152"/>
    <x v="119"/>
    <x v="26"/>
    <x v="3"/>
  </r>
  <r>
    <x v="0"/>
    <x v="42"/>
    <x v="42"/>
    <x v="10"/>
    <x v="10"/>
    <x v="10"/>
    <x v="10"/>
    <x v="186"/>
    <x v="430"/>
    <x v="54"/>
    <x v="146"/>
    <x v="121"/>
    <x v="258"/>
    <x v="3"/>
  </r>
  <r>
    <x v="0"/>
    <x v="42"/>
    <x v="42"/>
    <x v="22"/>
    <x v="22"/>
    <x v="22"/>
    <x v="13"/>
    <x v="187"/>
    <x v="176"/>
    <x v="51"/>
    <x v="417"/>
    <x v="121"/>
    <x v="258"/>
    <x v="3"/>
  </r>
  <r>
    <x v="0"/>
    <x v="42"/>
    <x v="42"/>
    <x v="14"/>
    <x v="14"/>
    <x v="14"/>
    <x v="13"/>
    <x v="187"/>
    <x v="176"/>
    <x v="54"/>
    <x v="146"/>
    <x v="126"/>
    <x v="260"/>
    <x v="3"/>
  </r>
  <r>
    <x v="0"/>
    <x v="42"/>
    <x v="42"/>
    <x v="34"/>
    <x v="34"/>
    <x v="34"/>
    <x v="15"/>
    <x v="188"/>
    <x v="416"/>
    <x v="89"/>
    <x v="424"/>
    <x v="120"/>
    <x v="404"/>
    <x v="3"/>
  </r>
  <r>
    <x v="0"/>
    <x v="42"/>
    <x v="42"/>
    <x v="37"/>
    <x v="37"/>
    <x v="37"/>
    <x v="15"/>
    <x v="188"/>
    <x v="416"/>
    <x v="54"/>
    <x v="146"/>
    <x v="125"/>
    <x v="220"/>
    <x v="3"/>
  </r>
  <r>
    <x v="0"/>
    <x v="42"/>
    <x v="42"/>
    <x v="25"/>
    <x v="25"/>
    <x v="25"/>
    <x v="15"/>
    <x v="188"/>
    <x v="416"/>
    <x v="51"/>
    <x v="417"/>
    <x v="126"/>
    <x v="260"/>
    <x v="3"/>
  </r>
  <r>
    <x v="0"/>
    <x v="42"/>
    <x v="42"/>
    <x v="17"/>
    <x v="17"/>
    <x v="17"/>
    <x v="15"/>
    <x v="188"/>
    <x v="416"/>
    <x v="89"/>
    <x v="424"/>
    <x v="120"/>
    <x v="404"/>
    <x v="3"/>
  </r>
  <r>
    <x v="0"/>
    <x v="42"/>
    <x v="42"/>
    <x v="12"/>
    <x v="12"/>
    <x v="12"/>
    <x v="15"/>
    <x v="188"/>
    <x v="416"/>
    <x v="54"/>
    <x v="146"/>
    <x v="125"/>
    <x v="220"/>
    <x v="3"/>
  </r>
  <r>
    <x v="0"/>
    <x v="42"/>
    <x v="42"/>
    <x v="43"/>
    <x v="43"/>
    <x v="43"/>
    <x v="15"/>
    <x v="188"/>
    <x v="416"/>
    <x v="89"/>
    <x v="424"/>
    <x v="120"/>
    <x v="404"/>
    <x v="3"/>
  </r>
  <r>
    <x v="0"/>
    <x v="42"/>
    <x v="42"/>
    <x v="27"/>
    <x v="27"/>
    <x v="27"/>
    <x v="15"/>
    <x v="188"/>
    <x v="416"/>
    <x v="51"/>
    <x v="417"/>
    <x v="125"/>
    <x v="220"/>
    <x v="3"/>
  </r>
  <r>
    <x v="0"/>
    <x v="43"/>
    <x v="43"/>
    <x v="0"/>
    <x v="0"/>
    <x v="0"/>
    <x v="0"/>
    <x v="138"/>
    <x v="431"/>
    <x v="111"/>
    <x v="449"/>
    <x v="121"/>
    <x v="163"/>
    <x v="3"/>
  </r>
  <r>
    <x v="0"/>
    <x v="43"/>
    <x v="43"/>
    <x v="2"/>
    <x v="2"/>
    <x v="2"/>
    <x v="1"/>
    <x v="140"/>
    <x v="344"/>
    <x v="16"/>
    <x v="450"/>
    <x v="83"/>
    <x v="405"/>
    <x v="3"/>
  </r>
  <r>
    <x v="0"/>
    <x v="43"/>
    <x v="43"/>
    <x v="3"/>
    <x v="3"/>
    <x v="3"/>
    <x v="2"/>
    <x v="183"/>
    <x v="432"/>
    <x v="52"/>
    <x v="395"/>
    <x v="83"/>
    <x v="405"/>
    <x v="3"/>
  </r>
  <r>
    <x v="0"/>
    <x v="43"/>
    <x v="43"/>
    <x v="5"/>
    <x v="5"/>
    <x v="5"/>
    <x v="2"/>
    <x v="183"/>
    <x v="432"/>
    <x v="66"/>
    <x v="451"/>
    <x v="125"/>
    <x v="220"/>
    <x v="3"/>
  </r>
  <r>
    <x v="0"/>
    <x v="43"/>
    <x v="43"/>
    <x v="35"/>
    <x v="35"/>
    <x v="35"/>
    <x v="4"/>
    <x v="186"/>
    <x v="310"/>
    <x v="128"/>
    <x v="398"/>
    <x v="119"/>
    <x v="406"/>
    <x v="3"/>
  </r>
  <r>
    <x v="0"/>
    <x v="43"/>
    <x v="43"/>
    <x v="1"/>
    <x v="1"/>
    <x v="1"/>
    <x v="4"/>
    <x v="186"/>
    <x v="310"/>
    <x v="37"/>
    <x v="452"/>
    <x v="126"/>
    <x v="76"/>
    <x v="3"/>
  </r>
  <r>
    <x v="0"/>
    <x v="43"/>
    <x v="43"/>
    <x v="9"/>
    <x v="9"/>
    <x v="9"/>
    <x v="4"/>
    <x v="186"/>
    <x v="310"/>
    <x v="52"/>
    <x v="395"/>
    <x v="125"/>
    <x v="220"/>
    <x v="3"/>
  </r>
  <r>
    <x v="0"/>
    <x v="43"/>
    <x v="43"/>
    <x v="6"/>
    <x v="6"/>
    <x v="6"/>
    <x v="7"/>
    <x v="188"/>
    <x v="28"/>
    <x v="128"/>
    <x v="398"/>
    <x v="121"/>
    <x v="163"/>
    <x v="3"/>
  </r>
  <r>
    <x v="0"/>
    <x v="43"/>
    <x v="43"/>
    <x v="12"/>
    <x v="12"/>
    <x v="12"/>
    <x v="7"/>
    <x v="188"/>
    <x v="28"/>
    <x v="54"/>
    <x v="114"/>
    <x v="125"/>
    <x v="220"/>
    <x v="3"/>
  </r>
  <r>
    <x v="0"/>
    <x v="43"/>
    <x v="43"/>
    <x v="14"/>
    <x v="14"/>
    <x v="14"/>
    <x v="7"/>
    <x v="188"/>
    <x v="28"/>
    <x v="128"/>
    <x v="398"/>
    <x v="121"/>
    <x v="163"/>
    <x v="3"/>
  </r>
  <r>
    <x v="0"/>
    <x v="43"/>
    <x v="43"/>
    <x v="7"/>
    <x v="7"/>
    <x v="7"/>
    <x v="10"/>
    <x v="189"/>
    <x v="258"/>
    <x v="128"/>
    <x v="398"/>
    <x v="126"/>
    <x v="76"/>
    <x v="3"/>
  </r>
  <r>
    <x v="0"/>
    <x v="43"/>
    <x v="43"/>
    <x v="22"/>
    <x v="22"/>
    <x v="22"/>
    <x v="10"/>
    <x v="189"/>
    <x v="258"/>
    <x v="89"/>
    <x v="187"/>
    <x v="121"/>
    <x v="163"/>
    <x v="3"/>
  </r>
  <r>
    <x v="0"/>
    <x v="43"/>
    <x v="43"/>
    <x v="18"/>
    <x v="18"/>
    <x v="18"/>
    <x v="12"/>
    <x v="190"/>
    <x v="15"/>
    <x v="89"/>
    <x v="187"/>
    <x v="126"/>
    <x v="76"/>
    <x v="3"/>
  </r>
  <r>
    <x v="0"/>
    <x v="43"/>
    <x v="43"/>
    <x v="34"/>
    <x v="34"/>
    <x v="34"/>
    <x v="12"/>
    <x v="190"/>
    <x v="15"/>
    <x v="79"/>
    <x v="88"/>
    <x v="121"/>
    <x v="163"/>
    <x v="3"/>
  </r>
  <r>
    <x v="0"/>
    <x v="43"/>
    <x v="43"/>
    <x v="27"/>
    <x v="27"/>
    <x v="27"/>
    <x v="12"/>
    <x v="190"/>
    <x v="15"/>
    <x v="128"/>
    <x v="398"/>
    <x v="125"/>
    <x v="220"/>
    <x v="3"/>
  </r>
  <r>
    <x v="0"/>
    <x v="43"/>
    <x v="43"/>
    <x v="8"/>
    <x v="8"/>
    <x v="8"/>
    <x v="15"/>
    <x v="191"/>
    <x v="433"/>
    <x v="79"/>
    <x v="88"/>
    <x v="126"/>
    <x v="76"/>
    <x v="3"/>
  </r>
  <r>
    <x v="0"/>
    <x v="43"/>
    <x v="43"/>
    <x v="37"/>
    <x v="37"/>
    <x v="37"/>
    <x v="15"/>
    <x v="191"/>
    <x v="433"/>
    <x v="79"/>
    <x v="88"/>
    <x v="126"/>
    <x v="76"/>
    <x v="3"/>
  </r>
  <r>
    <x v="0"/>
    <x v="43"/>
    <x v="43"/>
    <x v="56"/>
    <x v="56"/>
    <x v="56"/>
    <x v="15"/>
    <x v="191"/>
    <x v="433"/>
    <x v="79"/>
    <x v="88"/>
    <x v="126"/>
    <x v="76"/>
    <x v="3"/>
  </r>
  <r>
    <x v="0"/>
    <x v="43"/>
    <x v="43"/>
    <x v="38"/>
    <x v="38"/>
    <x v="38"/>
    <x v="15"/>
    <x v="191"/>
    <x v="433"/>
    <x v="79"/>
    <x v="88"/>
    <x v="125"/>
    <x v="220"/>
    <x v="3"/>
  </r>
  <r>
    <x v="0"/>
    <x v="43"/>
    <x v="43"/>
    <x v="39"/>
    <x v="39"/>
    <x v="39"/>
    <x v="15"/>
    <x v="191"/>
    <x v="433"/>
    <x v="79"/>
    <x v="88"/>
    <x v="125"/>
    <x v="220"/>
    <x v="3"/>
  </r>
  <r>
    <x v="0"/>
    <x v="43"/>
    <x v="43"/>
    <x v="57"/>
    <x v="57"/>
    <x v="57"/>
    <x v="15"/>
    <x v="191"/>
    <x v="433"/>
    <x v="79"/>
    <x v="88"/>
    <x v="126"/>
    <x v="76"/>
    <x v="3"/>
  </r>
  <r>
    <x v="0"/>
    <x v="43"/>
    <x v="43"/>
    <x v="53"/>
    <x v="53"/>
    <x v="53"/>
    <x v="15"/>
    <x v="191"/>
    <x v="433"/>
    <x v="79"/>
    <x v="88"/>
    <x v="126"/>
    <x v="76"/>
    <x v="3"/>
  </r>
  <r>
    <x v="0"/>
    <x v="43"/>
    <x v="43"/>
    <x v="25"/>
    <x v="25"/>
    <x v="25"/>
    <x v="15"/>
    <x v="191"/>
    <x v="433"/>
    <x v="89"/>
    <x v="187"/>
    <x v="125"/>
    <x v="220"/>
    <x v="3"/>
  </r>
  <r>
    <x v="0"/>
    <x v="43"/>
    <x v="43"/>
    <x v="10"/>
    <x v="10"/>
    <x v="10"/>
    <x v="15"/>
    <x v="191"/>
    <x v="433"/>
    <x v="89"/>
    <x v="187"/>
    <x v="125"/>
    <x v="220"/>
    <x v="3"/>
  </r>
  <r>
    <x v="0"/>
    <x v="43"/>
    <x v="43"/>
    <x v="13"/>
    <x v="13"/>
    <x v="13"/>
    <x v="15"/>
    <x v="191"/>
    <x v="433"/>
    <x v="89"/>
    <x v="187"/>
    <x v="125"/>
    <x v="220"/>
    <x v="3"/>
  </r>
  <r>
    <x v="0"/>
    <x v="43"/>
    <x v="43"/>
    <x v="26"/>
    <x v="26"/>
    <x v="26"/>
    <x v="15"/>
    <x v="191"/>
    <x v="433"/>
    <x v="79"/>
    <x v="88"/>
    <x v="125"/>
    <x v="220"/>
    <x v="3"/>
  </r>
  <r>
    <x v="0"/>
    <x v="43"/>
    <x v="43"/>
    <x v="11"/>
    <x v="11"/>
    <x v="11"/>
    <x v="15"/>
    <x v="191"/>
    <x v="433"/>
    <x v="89"/>
    <x v="187"/>
    <x v="125"/>
    <x v="220"/>
    <x v="3"/>
  </r>
  <r>
    <x v="0"/>
    <x v="43"/>
    <x v="43"/>
    <x v="16"/>
    <x v="16"/>
    <x v="16"/>
    <x v="15"/>
    <x v="191"/>
    <x v="433"/>
    <x v="79"/>
    <x v="88"/>
    <x v="126"/>
    <x v="76"/>
    <x v="3"/>
  </r>
  <r>
    <x v="0"/>
    <x v="43"/>
    <x v="43"/>
    <x v="44"/>
    <x v="44"/>
    <x v="44"/>
    <x v="15"/>
    <x v="191"/>
    <x v="433"/>
    <x v="79"/>
    <x v="88"/>
    <x v="126"/>
    <x v="76"/>
    <x v="3"/>
  </r>
  <r>
    <x v="0"/>
    <x v="43"/>
    <x v="43"/>
    <x v="52"/>
    <x v="52"/>
    <x v="52"/>
    <x v="15"/>
    <x v="191"/>
    <x v="433"/>
    <x v="79"/>
    <x v="88"/>
    <x v="126"/>
    <x v="76"/>
    <x v="3"/>
  </r>
  <r>
    <x v="0"/>
    <x v="43"/>
    <x v="43"/>
    <x v="46"/>
    <x v="46"/>
    <x v="46"/>
    <x v="15"/>
    <x v="191"/>
    <x v="433"/>
    <x v="79"/>
    <x v="88"/>
    <x v="126"/>
    <x v="76"/>
    <x v="3"/>
  </r>
  <r>
    <x v="0"/>
    <x v="44"/>
    <x v="44"/>
    <x v="32"/>
    <x v="32"/>
    <x v="32"/>
    <x v="0"/>
    <x v="154"/>
    <x v="434"/>
    <x v="76"/>
    <x v="453"/>
    <x v="126"/>
    <x v="265"/>
    <x v="3"/>
  </r>
  <r>
    <x v="0"/>
    <x v="44"/>
    <x v="44"/>
    <x v="5"/>
    <x v="5"/>
    <x v="5"/>
    <x v="1"/>
    <x v="184"/>
    <x v="435"/>
    <x v="91"/>
    <x v="454"/>
    <x v="126"/>
    <x v="265"/>
    <x v="3"/>
  </r>
  <r>
    <x v="0"/>
    <x v="44"/>
    <x v="44"/>
    <x v="0"/>
    <x v="0"/>
    <x v="0"/>
    <x v="2"/>
    <x v="186"/>
    <x v="247"/>
    <x v="52"/>
    <x v="455"/>
    <x v="125"/>
    <x v="220"/>
    <x v="3"/>
  </r>
  <r>
    <x v="0"/>
    <x v="44"/>
    <x v="44"/>
    <x v="1"/>
    <x v="1"/>
    <x v="1"/>
    <x v="3"/>
    <x v="187"/>
    <x v="436"/>
    <x v="37"/>
    <x v="456"/>
    <x v="125"/>
    <x v="220"/>
    <x v="3"/>
  </r>
  <r>
    <x v="0"/>
    <x v="44"/>
    <x v="44"/>
    <x v="2"/>
    <x v="2"/>
    <x v="2"/>
    <x v="4"/>
    <x v="188"/>
    <x v="437"/>
    <x v="128"/>
    <x v="457"/>
    <x v="121"/>
    <x v="402"/>
    <x v="3"/>
  </r>
  <r>
    <x v="0"/>
    <x v="44"/>
    <x v="44"/>
    <x v="6"/>
    <x v="6"/>
    <x v="6"/>
    <x v="5"/>
    <x v="189"/>
    <x v="438"/>
    <x v="128"/>
    <x v="457"/>
    <x v="126"/>
    <x v="265"/>
    <x v="3"/>
  </r>
  <r>
    <x v="0"/>
    <x v="44"/>
    <x v="44"/>
    <x v="11"/>
    <x v="11"/>
    <x v="11"/>
    <x v="5"/>
    <x v="189"/>
    <x v="438"/>
    <x v="51"/>
    <x v="458"/>
    <x v="125"/>
    <x v="220"/>
    <x v="3"/>
  </r>
  <r>
    <x v="0"/>
    <x v="44"/>
    <x v="44"/>
    <x v="3"/>
    <x v="3"/>
    <x v="3"/>
    <x v="7"/>
    <x v="190"/>
    <x v="439"/>
    <x v="89"/>
    <x v="459"/>
    <x v="126"/>
    <x v="265"/>
    <x v="3"/>
  </r>
  <r>
    <x v="0"/>
    <x v="44"/>
    <x v="44"/>
    <x v="34"/>
    <x v="34"/>
    <x v="34"/>
    <x v="7"/>
    <x v="190"/>
    <x v="439"/>
    <x v="89"/>
    <x v="459"/>
    <x v="126"/>
    <x v="265"/>
    <x v="3"/>
  </r>
  <r>
    <x v="0"/>
    <x v="44"/>
    <x v="44"/>
    <x v="35"/>
    <x v="35"/>
    <x v="35"/>
    <x v="7"/>
    <x v="190"/>
    <x v="439"/>
    <x v="89"/>
    <x v="459"/>
    <x v="126"/>
    <x v="265"/>
    <x v="3"/>
  </r>
  <r>
    <x v="0"/>
    <x v="44"/>
    <x v="44"/>
    <x v="26"/>
    <x v="26"/>
    <x v="26"/>
    <x v="7"/>
    <x v="190"/>
    <x v="439"/>
    <x v="89"/>
    <x v="459"/>
    <x v="126"/>
    <x v="265"/>
    <x v="3"/>
  </r>
  <r>
    <x v="0"/>
    <x v="44"/>
    <x v="44"/>
    <x v="9"/>
    <x v="9"/>
    <x v="9"/>
    <x v="7"/>
    <x v="190"/>
    <x v="439"/>
    <x v="128"/>
    <x v="457"/>
    <x v="125"/>
    <x v="220"/>
    <x v="3"/>
  </r>
  <r>
    <x v="0"/>
    <x v="44"/>
    <x v="44"/>
    <x v="8"/>
    <x v="8"/>
    <x v="8"/>
    <x v="12"/>
    <x v="191"/>
    <x v="134"/>
    <x v="89"/>
    <x v="459"/>
    <x v="125"/>
    <x v="220"/>
    <x v="3"/>
  </r>
  <r>
    <x v="0"/>
    <x v="44"/>
    <x v="44"/>
    <x v="18"/>
    <x v="18"/>
    <x v="18"/>
    <x v="12"/>
    <x v="191"/>
    <x v="134"/>
    <x v="79"/>
    <x v="88"/>
    <x v="126"/>
    <x v="265"/>
    <x v="3"/>
  </r>
  <r>
    <x v="0"/>
    <x v="44"/>
    <x v="44"/>
    <x v="51"/>
    <x v="51"/>
    <x v="51"/>
    <x v="12"/>
    <x v="191"/>
    <x v="134"/>
    <x v="89"/>
    <x v="459"/>
    <x v="125"/>
    <x v="220"/>
    <x v="3"/>
  </r>
  <r>
    <x v="0"/>
    <x v="44"/>
    <x v="44"/>
    <x v="39"/>
    <x v="39"/>
    <x v="39"/>
    <x v="12"/>
    <x v="191"/>
    <x v="134"/>
    <x v="79"/>
    <x v="88"/>
    <x v="125"/>
    <x v="220"/>
    <x v="3"/>
  </r>
  <r>
    <x v="0"/>
    <x v="44"/>
    <x v="44"/>
    <x v="42"/>
    <x v="42"/>
    <x v="42"/>
    <x v="12"/>
    <x v="191"/>
    <x v="134"/>
    <x v="89"/>
    <x v="459"/>
    <x v="125"/>
    <x v="220"/>
    <x v="3"/>
  </r>
  <r>
    <x v="0"/>
    <x v="44"/>
    <x v="44"/>
    <x v="19"/>
    <x v="19"/>
    <x v="19"/>
    <x v="12"/>
    <x v="191"/>
    <x v="134"/>
    <x v="89"/>
    <x v="459"/>
    <x v="125"/>
    <x v="220"/>
    <x v="3"/>
  </r>
  <r>
    <x v="0"/>
    <x v="44"/>
    <x v="44"/>
    <x v="12"/>
    <x v="12"/>
    <x v="12"/>
    <x v="12"/>
    <x v="191"/>
    <x v="134"/>
    <x v="89"/>
    <x v="459"/>
    <x v="125"/>
    <x v="220"/>
    <x v="3"/>
  </r>
  <r>
    <x v="0"/>
    <x v="44"/>
    <x v="44"/>
    <x v="7"/>
    <x v="7"/>
    <x v="7"/>
    <x v="12"/>
    <x v="191"/>
    <x v="134"/>
    <x v="89"/>
    <x v="459"/>
    <x v="125"/>
    <x v="220"/>
    <x v="3"/>
  </r>
  <r>
    <x v="0"/>
    <x v="44"/>
    <x v="44"/>
    <x v="43"/>
    <x v="43"/>
    <x v="43"/>
    <x v="12"/>
    <x v="191"/>
    <x v="134"/>
    <x v="79"/>
    <x v="88"/>
    <x v="126"/>
    <x v="265"/>
    <x v="3"/>
  </r>
  <r>
    <x v="0"/>
    <x v="44"/>
    <x v="44"/>
    <x v="58"/>
    <x v="58"/>
    <x v="58"/>
    <x v="12"/>
    <x v="191"/>
    <x v="134"/>
    <x v="79"/>
    <x v="88"/>
    <x v="126"/>
    <x v="265"/>
    <x v="3"/>
  </r>
  <r>
    <x v="0"/>
    <x v="44"/>
    <x v="44"/>
    <x v="22"/>
    <x v="22"/>
    <x v="22"/>
    <x v="12"/>
    <x v="191"/>
    <x v="134"/>
    <x v="79"/>
    <x v="88"/>
    <x v="125"/>
    <x v="220"/>
    <x v="3"/>
  </r>
  <r>
    <x v="0"/>
    <x v="44"/>
    <x v="44"/>
    <x v="44"/>
    <x v="44"/>
    <x v="44"/>
    <x v="12"/>
    <x v="191"/>
    <x v="134"/>
    <x v="79"/>
    <x v="88"/>
    <x v="126"/>
    <x v="265"/>
    <x v="3"/>
  </r>
  <r>
    <x v="0"/>
    <x v="45"/>
    <x v="45"/>
    <x v="3"/>
    <x v="3"/>
    <x v="3"/>
    <x v="0"/>
    <x v="140"/>
    <x v="440"/>
    <x v="98"/>
    <x v="460"/>
    <x v="119"/>
    <x v="392"/>
    <x v="3"/>
  </r>
  <r>
    <x v="0"/>
    <x v="45"/>
    <x v="45"/>
    <x v="5"/>
    <x v="5"/>
    <x v="5"/>
    <x v="1"/>
    <x v="155"/>
    <x v="441"/>
    <x v="76"/>
    <x v="180"/>
    <x v="125"/>
    <x v="220"/>
    <x v="3"/>
  </r>
  <r>
    <x v="0"/>
    <x v="45"/>
    <x v="45"/>
    <x v="0"/>
    <x v="0"/>
    <x v="0"/>
    <x v="1"/>
    <x v="155"/>
    <x v="441"/>
    <x v="76"/>
    <x v="180"/>
    <x v="125"/>
    <x v="220"/>
    <x v="3"/>
  </r>
  <r>
    <x v="0"/>
    <x v="45"/>
    <x v="45"/>
    <x v="2"/>
    <x v="2"/>
    <x v="2"/>
    <x v="3"/>
    <x v="184"/>
    <x v="442"/>
    <x v="37"/>
    <x v="294"/>
    <x v="120"/>
    <x v="393"/>
    <x v="3"/>
  </r>
  <r>
    <x v="0"/>
    <x v="45"/>
    <x v="45"/>
    <x v="34"/>
    <x v="34"/>
    <x v="34"/>
    <x v="4"/>
    <x v="185"/>
    <x v="443"/>
    <x v="128"/>
    <x v="334"/>
    <x v="113"/>
    <x v="394"/>
    <x v="3"/>
  </r>
  <r>
    <x v="0"/>
    <x v="45"/>
    <x v="45"/>
    <x v="6"/>
    <x v="6"/>
    <x v="6"/>
    <x v="5"/>
    <x v="187"/>
    <x v="444"/>
    <x v="54"/>
    <x v="461"/>
    <x v="126"/>
    <x v="396"/>
    <x v="3"/>
  </r>
  <r>
    <x v="0"/>
    <x v="45"/>
    <x v="45"/>
    <x v="7"/>
    <x v="7"/>
    <x v="7"/>
    <x v="5"/>
    <x v="187"/>
    <x v="444"/>
    <x v="51"/>
    <x v="9"/>
    <x v="121"/>
    <x v="395"/>
    <x v="3"/>
  </r>
  <r>
    <x v="0"/>
    <x v="45"/>
    <x v="45"/>
    <x v="18"/>
    <x v="18"/>
    <x v="18"/>
    <x v="7"/>
    <x v="188"/>
    <x v="143"/>
    <x v="89"/>
    <x v="462"/>
    <x v="120"/>
    <x v="393"/>
    <x v="3"/>
  </r>
  <r>
    <x v="0"/>
    <x v="45"/>
    <x v="45"/>
    <x v="35"/>
    <x v="35"/>
    <x v="35"/>
    <x v="7"/>
    <x v="188"/>
    <x v="143"/>
    <x v="79"/>
    <x v="88"/>
    <x v="119"/>
    <x v="392"/>
    <x v="3"/>
  </r>
  <r>
    <x v="0"/>
    <x v="45"/>
    <x v="45"/>
    <x v="1"/>
    <x v="1"/>
    <x v="1"/>
    <x v="7"/>
    <x v="188"/>
    <x v="143"/>
    <x v="54"/>
    <x v="461"/>
    <x v="125"/>
    <x v="220"/>
    <x v="3"/>
  </r>
  <r>
    <x v="0"/>
    <x v="45"/>
    <x v="45"/>
    <x v="9"/>
    <x v="9"/>
    <x v="9"/>
    <x v="7"/>
    <x v="188"/>
    <x v="143"/>
    <x v="54"/>
    <x v="461"/>
    <x v="125"/>
    <x v="220"/>
    <x v="3"/>
  </r>
  <r>
    <x v="0"/>
    <x v="45"/>
    <x v="45"/>
    <x v="25"/>
    <x v="25"/>
    <x v="25"/>
    <x v="11"/>
    <x v="189"/>
    <x v="271"/>
    <x v="89"/>
    <x v="462"/>
    <x v="121"/>
    <x v="395"/>
    <x v="3"/>
  </r>
  <r>
    <x v="0"/>
    <x v="45"/>
    <x v="45"/>
    <x v="10"/>
    <x v="10"/>
    <x v="10"/>
    <x v="11"/>
    <x v="189"/>
    <x v="271"/>
    <x v="128"/>
    <x v="334"/>
    <x v="125"/>
    <x v="220"/>
    <x v="0"/>
  </r>
  <r>
    <x v="0"/>
    <x v="45"/>
    <x v="45"/>
    <x v="14"/>
    <x v="14"/>
    <x v="14"/>
    <x v="11"/>
    <x v="189"/>
    <x v="271"/>
    <x v="128"/>
    <x v="334"/>
    <x v="126"/>
    <x v="396"/>
    <x v="3"/>
  </r>
  <r>
    <x v="0"/>
    <x v="45"/>
    <x v="45"/>
    <x v="8"/>
    <x v="8"/>
    <x v="8"/>
    <x v="14"/>
    <x v="190"/>
    <x v="445"/>
    <x v="128"/>
    <x v="334"/>
    <x v="125"/>
    <x v="220"/>
    <x v="3"/>
  </r>
  <r>
    <x v="0"/>
    <x v="45"/>
    <x v="45"/>
    <x v="54"/>
    <x v="54"/>
    <x v="54"/>
    <x v="14"/>
    <x v="190"/>
    <x v="445"/>
    <x v="79"/>
    <x v="88"/>
    <x v="121"/>
    <x v="395"/>
    <x v="3"/>
  </r>
  <r>
    <x v="0"/>
    <x v="45"/>
    <x v="45"/>
    <x v="28"/>
    <x v="28"/>
    <x v="28"/>
    <x v="14"/>
    <x v="190"/>
    <x v="445"/>
    <x v="89"/>
    <x v="462"/>
    <x v="126"/>
    <x v="396"/>
    <x v="3"/>
  </r>
  <r>
    <x v="0"/>
    <x v="45"/>
    <x v="45"/>
    <x v="4"/>
    <x v="4"/>
    <x v="4"/>
    <x v="14"/>
    <x v="190"/>
    <x v="445"/>
    <x v="89"/>
    <x v="462"/>
    <x v="126"/>
    <x v="396"/>
    <x v="3"/>
  </r>
  <r>
    <x v="0"/>
    <x v="45"/>
    <x v="45"/>
    <x v="43"/>
    <x v="43"/>
    <x v="43"/>
    <x v="14"/>
    <x v="190"/>
    <x v="445"/>
    <x v="89"/>
    <x v="462"/>
    <x v="126"/>
    <x v="396"/>
    <x v="3"/>
  </r>
  <r>
    <x v="0"/>
    <x v="45"/>
    <x v="45"/>
    <x v="11"/>
    <x v="11"/>
    <x v="11"/>
    <x v="14"/>
    <x v="190"/>
    <x v="445"/>
    <x v="128"/>
    <x v="334"/>
    <x v="125"/>
    <x v="220"/>
    <x v="3"/>
  </r>
  <r>
    <x v="0"/>
    <x v="46"/>
    <x v="46"/>
    <x v="5"/>
    <x v="5"/>
    <x v="5"/>
    <x v="0"/>
    <x v="187"/>
    <x v="446"/>
    <x v="51"/>
    <x v="463"/>
    <x v="121"/>
    <x v="337"/>
    <x v="3"/>
  </r>
  <r>
    <x v="0"/>
    <x v="46"/>
    <x v="46"/>
    <x v="3"/>
    <x v="3"/>
    <x v="3"/>
    <x v="1"/>
    <x v="188"/>
    <x v="435"/>
    <x v="51"/>
    <x v="463"/>
    <x v="126"/>
    <x v="323"/>
    <x v="3"/>
  </r>
  <r>
    <x v="0"/>
    <x v="46"/>
    <x v="46"/>
    <x v="13"/>
    <x v="13"/>
    <x v="13"/>
    <x v="2"/>
    <x v="189"/>
    <x v="247"/>
    <x v="79"/>
    <x v="88"/>
    <x v="126"/>
    <x v="323"/>
    <x v="3"/>
  </r>
  <r>
    <x v="0"/>
    <x v="46"/>
    <x v="46"/>
    <x v="32"/>
    <x v="32"/>
    <x v="32"/>
    <x v="2"/>
    <x v="189"/>
    <x v="247"/>
    <x v="51"/>
    <x v="463"/>
    <x v="125"/>
    <x v="220"/>
    <x v="3"/>
  </r>
  <r>
    <x v="0"/>
    <x v="46"/>
    <x v="46"/>
    <x v="1"/>
    <x v="1"/>
    <x v="1"/>
    <x v="2"/>
    <x v="189"/>
    <x v="247"/>
    <x v="128"/>
    <x v="464"/>
    <x v="126"/>
    <x v="323"/>
    <x v="3"/>
  </r>
  <r>
    <x v="0"/>
    <x v="46"/>
    <x v="46"/>
    <x v="0"/>
    <x v="0"/>
    <x v="0"/>
    <x v="2"/>
    <x v="189"/>
    <x v="247"/>
    <x v="51"/>
    <x v="463"/>
    <x v="125"/>
    <x v="220"/>
    <x v="3"/>
  </r>
  <r>
    <x v="0"/>
    <x v="46"/>
    <x v="46"/>
    <x v="4"/>
    <x v="4"/>
    <x v="4"/>
    <x v="6"/>
    <x v="190"/>
    <x v="437"/>
    <x v="79"/>
    <x v="88"/>
    <x v="121"/>
    <x v="337"/>
    <x v="3"/>
  </r>
  <r>
    <x v="0"/>
    <x v="46"/>
    <x v="46"/>
    <x v="6"/>
    <x v="6"/>
    <x v="6"/>
    <x v="7"/>
    <x v="191"/>
    <x v="439"/>
    <x v="89"/>
    <x v="465"/>
    <x v="125"/>
    <x v="220"/>
    <x v="3"/>
  </r>
  <r>
    <x v="0"/>
    <x v="46"/>
    <x v="46"/>
    <x v="18"/>
    <x v="18"/>
    <x v="18"/>
    <x v="7"/>
    <x v="191"/>
    <x v="439"/>
    <x v="89"/>
    <x v="465"/>
    <x v="125"/>
    <x v="220"/>
    <x v="3"/>
  </r>
  <r>
    <x v="0"/>
    <x v="46"/>
    <x v="46"/>
    <x v="34"/>
    <x v="34"/>
    <x v="34"/>
    <x v="7"/>
    <x v="191"/>
    <x v="439"/>
    <x v="89"/>
    <x v="465"/>
    <x v="125"/>
    <x v="220"/>
    <x v="3"/>
  </r>
  <r>
    <x v="0"/>
    <x v="46"/>
    <x v="46"/>
    <x v="19"/>
    <x v="19"/>
    <x v="19"/>
    <x v="7"/>
    <x v="191"/>
    <x v="439"/>
    <x v="89"/>
    <x v="465"/>
    <x v="125"/>
    <x v="220"/>
    <x v="3"/>
  </r>
  <r>
    <x v="0"/>
    <x v="46"/>
    <x v="46"/>
    <x v="7"/>
    <x v="7"/>
    <x v="7"/>
    <x v="7"/>
    <x v="191"/>
    <x v="439"/>
    <x v="89"/>
    <x v="465"/>
    <x v="125"/>
    <x v="220"/>
    <x v="3"/>
  </r>
  <r>
    <x v="0"/>
    <x v="46"/>
    <x v="46"/>
    <x v="2"/>
    <x v="2"/>
    <x v="2"/>
    <x v="7"/>
    <x v="191"/>
    <x v="439"/>
    <x v="79"/>
    <x v="88"/>
    <x v="126"/>
    <x v="323"/>
    <x v="3"/>
  </r>
  <r>
    <x v="0"/>
    <x v="46"/>
    <x v="46"/>
    <x v="10"/>
    <x v="10"/>
    <x v="10"/>
    <x v="7"/>
    <x v="191"/>
    <x v="439"/>
    <x v="79"/>
    <x v="88"/>
    <x v="126"/>
    <x v="323"/>
    <x v="3"/>
  </r>
  <r>
    <x v="0"/>
    <x v="46"/>
    <x v="46"/>
    <x v="46"/>
    <x v="46"/>
    <x v="46"/>
    <x v="7"/>
    <x v="191"/>
    <x v="439"/>
    <x v="79"/>
    <x v="88"/>
    <x v="125"/>
    <x v="220"/>
    <x v="0"/>
  </r>
  <r>
    <x v="0"/>
    <x v="47"/>
    <x v="47"/>
    <x v="3"/>
    <x v="3"/>
    <x v="3"/>
    <x v="0"/>
    <x v="184"/>
    <x v="447"/>
    <x v="37"/>
    <x v="466"/>
    <x v="120"/>
    <x v="407"/>
    <x v="3"/>
  </r>
  <r>
    <x v="0"/>
    <x v="47"/>
    <x v="47"/>
    <x v="0"/>
    <x v="0"/>
    <x v="0"/>
    <x v="1"/>
    <x v="186"/>
    <x v="285"/>
    <x v="52"/>
    <x v="451"/>
    <x v="125"/>
    <x v="220"/>
    <x v="3"/>
  </r>
  <r>
    <x v="0"/>
    <x v="47"/>
    <x v="47"/>
    <x v="6"/>
    <x v="6"/>
    <x v="6"/>
    <x v="2"/>
    <x v="188"/>
    <x v="288"/>
    <x v="54"/>
    <x v="467"/>
    <x v="125"/>
    <x v="220"/>
    <x v="3"/>
  </r>
  <r>
    <x v="0"/>
    <x v="47"/>
    <x v="47"/>
    <x v="8"/>
    <x v="8"/>
    <x v="8"/>
    <x v="2"/>
    <x v="188"/>
    <x v="288"/>
    <x v="51"/>
    <x v="395"/>
    <x v="126"/>
    <x v="393"/>
    <x v="3"/>
  </r>
  <r>
    <x v="0"/>
    <x v="47"/>
    <x v="47"/>
    <x v="2"/>
    <x v="2"/>
    <x v="2"/>
    <x v="2"/>
    <x v="188"/>
    <x v="288"/>
    <x v="89"/>
    <x v="398"/>
    <x v="120"/>
    <x v="407"/>
    <x v="3"/>
  </r>
  <r>
    <x v="0"/>
    <x v="47"/>
    <x v="47"/>
    <x v="5"/>
    <x v="5"/>
    <x v="5"/>
    <x v="5"/>
    <x v="190"/>
    <x v="116"/>
    <x v="128"/>
    <x v="114"/>
    <x v="125"/>
    <x v="220"/>
    <x v="3"/>
  </r>
  <r>
    <x v="0"/>
    <x v="47"/>
    <x v="47"/>
    <x v="7"/>
    <x v="7"/>
    <x v="7"/>
    <x v="5"/>
    <x v="190"/>
    <x v="116"/>
    <x v="128"/>
    <x v="114"/>
    <x v="125"/>
    <x v="220"/>
    <x v="3"/>
  </r>
  <r>
    <x v="0"/>
    <x v="47"/>
    <x v="47"/>
    <x v="10"/>
    <x v="10"/>
    <x v="10"/>
    <x v="5"/>
    <x v="190"/>
    <x v="116"/>
    <x v="89"/>
    <x v="398"/>
    <x v="126"/>
    <x v="393"/>
    <x v="3"/>
  </r>
  <r>
    <x v="0"/>
    <x v="47"/>
    <x v="47"/>
    <x v="14"/>
    <x v="14"/>
    <x v="14"/>
    <x v="5"/>
    <x v="190"/>
    <x v="116"/>
    <x v="128"/>
    <x v="114"/>
    <x v="125"/>
    <x v="220"/>
    <x v="3"/>
  </r>
  <r>
    <x v="0"/>
    <x v="47"/>
    <x v="47"/>
    <x v="18"/>
    <x v="18"/>
    <x v="18"/>
    <x v="9"/>
    <x v="191"/>
    <x v="72"/>
    <x v="89"/>
    <x v="398"/>
    <x v="125"/>
    <x v="220"/>
    <x v="3"/>
  </r>
  <r>
    <x v="0"/>
    <x v="47"/>
    <x v="47"/>
    <x v="34"/>
    <x v="34"/>
    <x v="34"/>
    <x v="9"/>
    <x v="191"/>
    <x v="72"/>
    <x v="79"/>
    <x v="88"/>
    <x v="126"/>
    <x v="393"/>
    <x v="3"/>
  </r>
  <r>
    <x v="0"/>
    <x v="47"/>
    <x v="47"/>
    <x v="31"/>
    <x v="31"/>
    <x v="31"/>
    <x v="9"/>
    <x v="191"/>
    <x v="72"/>
    <x v="89"/>
    <x v="398"/>
    <x v="125"/>
    <x v="220"/>
    <x v="3"/>
  </r>
  <r>
    <x v="0"/>
    <x v="47"/>
    <x v="47"/>
    <x v="35"/>
    <x v="35"/>
    <x v="35"/>
    <x v="9"/>
    <x v="191"/>
    <x v="72"/>
    <x v="89"/>
    <x v="398"/>
    <x v="125"/>
    <x v="220"/>
    <x v="3"/>
  </r>
  <r>
    <x v="0"/>
    <x v="47"/>
    <x v="47"/>
    <x v="36"/>
    <x v="36"/>
    <x v="36"/>
    <x v="9"/>
    <x v="191"/>
    <x v="72"/>
    <x v="89"/>
    <x v="398"/>
    <x v="125"/>
    <x v="220"/>
    <x v="3"/>
  </r>
  <r>
    <x v="0"/>
    <x v="47"/>
    <x v="47"/>
    <x v="39"/>
    <x v="39"/>
    <x v="39"/>
    <x v="9"/>
    <x v="191"/>
    <x v="72"/>
    <x v="79"/>
    <x v="88"/>
    <x v="125"/>
    <x v="220"/>
    <x v="3"/>
  </r>
  <r>
    <x v="0"/>
    <x v="47"/>
    <x v="47"/>
    <x v="53"/>
    <x v="53"/>
    <x v="53"/>
    <x v="9"/>
    <x v="191"/>
    <x v="72"/>
    <x v="79"/>
    <x v="88"/>
    <x v="126"/>
    <x v="393"/>
    <x v="3"/>
  </r>
  <r>
    <x v="0"/>
    <x v="47"/>
    <x v="47"/>
    <x v="40"/>
    <x v="40"/>
    <x v="40"/>
    <x v="9"/>
    <x v="191"/>
    <x v="72"/>
    <x v="89"/>
    <x v="398"/>
    <x v="125"/>
    <x v="220"/>
    <x v="3"/>
  </r>
  <r>
    <x v="0"/>
    <x v="47"/>
    <x v="47"/>
    <x v="49"/>
    <x v="49"/>
    <x v="49"/>
    <x v="9"/>
    <x v="191"/>
    <x v="72"/>
    <x v="89"/>
    <x v="398"/>
    <x v="125"/>
    <x v="220"/>
    <x v="3"/>
  </r>
  <r>
    <x v="0"/>
    <x v="47"/>
    <x v="47"/>
    <x v="17"/>
    <x v="17"/>
    <x v="17"/>
    <x v="9"/>
    <x v="191"/>
    <x v="72"/>
    <x v="79"/>
    <x v="88"/>
    <x v="126"/>
    <x v="393"/>
    <x v="3"/>
  </r>
  <r>
    <x v="0"/>
    <x v="47"/>
    <x v="47"/>
    <x v="12"/>
    <x v="12"/>
    <x v="12"/>
    <x v="9"/>
    <x v="191"/>
    <x v="72"/>
    <x v="89"/>
    <x v="398"/>
    <x v="125"/>
    <x v="220"/>
    <x v="3"/>
  </r>
  <r>
    <x v="0"/>
    <x v="47"/>
    <x v="47"/>
    <x v="4"/>
    <x v="4"/>
    <x v="4"/>
    <x v="9"/>
    <x v="191"/>
    <x v="72"/>
    <x v="89"/>
    <x v="398"/>
    <x v="125"/>
    <x v="220"/>
    <x v="3"/>
  </r>
  <r>
    <x v="0"/>
    <x v="47"/>
    <x v="47"/>
    <x v="32"/>
    <x v="32"/>
    <x v="32"/>
    <x v="9"/>
    <x v="191"/>
    <x v="72"/>
    <x v="89"/>
    <x v="398"/>
    <x v="125"/>
    <x v="220"/>
    <x v="3"/>
  </r>
  <r>
    <x v="0"/>
    <x v="47"/>
    <x v="47"/>
    <x v="1"/>
    <x v="1"/>
    <x v="1"/>
    <x v="9"/>
    <x v="191"/>
    <x v="72"/>
    <x v="89"/>
    <x v="398"/>
    <x v="125"/>
    <x v="220"/>
    <x v="3"/>
  </r>
  <r>
    <x v="0"/>
    <x v="47"/>
    <x v="47"/>
    <x v="9"/>
    <x v="9"/>
    <x v="9"/>
    <x v="9"/>
    <x v="191"/>
    <x v="72"/>
    <x v="79"/>
    <x v="88"/>
    <x v="125"/>
    <x v="220"/>
    <x v="3"/>
  </r>
  <r>
    <x v="0"/>
    <x v="47"/>
    <x v="47"/>
    <x v="11"/>
    <x v="11"/>
    <x v="11"/>
    <x v="9"/>
    <x v="191"/>
    <x v="72"/>
    <x v="89"/>
    <x v="398"/>
    <x v="125"/>
    <x v="220"/>
    <x v="3"/>
  </r>
  <r>
    <x v="0"/>
    <x v="48"/>
    <x v="48"/>
    <x v="3"/>
    <x v="3"/>
    <x v="3"/>
    <x v="0"/>
    <x v="185"/>
    <x v="448"/>
    <x v="52"/>
    <x v="468"/>
    <x v="126"/>
    <x v="393"/>
    <x v="3"/>
  </r>
  <r>
    <x v="0"/>
    <x v="48"/>
    <x v="48"/>
    <x v="6"/>
    <x v="6"/>
    <x v="6"/>
    <x v="1"/>
    <x v="188"/>
    <x v="449"/>
    <x v="54"/>
    <x v="469"/>
    <x v="125"/>
    <x v="220"/>
    <x v="3"/>
  </r>
  <r>
    <x v="0"/>
    <x v="48"/>
    <x v="48"/>
    <x v="5"/>
    <x v="5"/>
    <x v="5"/>
    <x v="2"/>
    <x v="189"/>
    <x v="450"/>
    <x v="51"/>
    <x v="291"/>
    <x v="125"/>
    <x v="220"/>
    <x v="3"/>
  </r>
  <r>
    <x v="0"/>
    <x v="48"/>
    <x v="48"/>
    <x v="2"/>
    <x v="2"/>
    <x v="2"/>
    <x v="2"/>
    <x v="189"/>
    <x v="450"/>
    <x v="128"/>
    <x v="314"/>
    <x v="126"/>
    <x v="393"/>
    <x v="3"/>
  </r>
  <r>
    <x v="0"/>
    <x v="48"/>
    <x v="48"/>
    <x v="35"/>
    <x v="35"/>
    <x v="35"/>
    <x v="4"/>
    <x v="190"/>
    <x v="451"/>
    <x v="89"/>
    <x v="318"/>
    <x v="126"/>
    <x v="393"/>
    <x v="3"/>
  </r>
  <r>
    <x v="0"/>
    <x v="48"/>
    <x v="48"/>
    <x v="36"/>
    <x v="36"/>
    <x v="36"/>
    <x v="4"/>
    <x v="190"/>
    <x v="451"/>
    <x v="79"/>
    <x v="88"/>
    <x v="121"/>
    <x v="408"/>
    <x v="3"/>
  </r>
  <r>
    <x v="0"/>
    <x v="48"/>
    <x v="48"/>
    <x v="0"/>
    <x v="0"/>
    <x v="0"/>
    <x v="4"/>
    <x v="190"/>
    <x v="451"/>
    <x v="128"/>
    <x v="314"/>
    <x v="125"/>
    <x v="220"/>
    <x v="3"/>
  </r>
  <r>
    <x v="0"/>
    <x v="48"/>
    <x v="48"/>
    <x v="9"/>
    <x v="9"/>
    <x v="9"/>
    <x v="4"/>
    <x v="190"/>
    <x v="451"/>
    <x v="89"/>
    <x v="318"/>
    <x v="126"/>
    <x v="393"/>
    <x v="3"/>
  </r>
  <r>
    <x v="0"/>
    <x v="48"/>
    <x v="48"/>
    <x v="8"/>
    <x v="8"/>
    <x v="8"/>
    <x v="8"/>
    <x v="191"/>
    <x v="242"/>
    <x v="89"/>
    <x v="318"/>
    <x v="125"/>
    <x v="220"/>
    <x v="3"/>
  </r>
  <r>
    <x v="0"/>
    <x v="48"/>
    <x v="48"/>
    <x v="18"/>
    <x v="18"/>
    <x v="18"/>
    <x v="8"/>
    <x v="191"/>
    <x v="242"/>
    <x v="79"/>
    <x v="88"/>
    <x v="126"/>
    <x v="393"/>
    <x v="3"/>
  </r>
  <r>
    <x v="0"/>
    <x v="48"/>
    <x v="48"/>
    <x v="34"/>
    <x v="34"/>
    <x v="34"/>
    <x v="8"/>
    <x v="191"/>
    <x v="242"/>
    <x v="79"/>
    <x v="88"/>
    <x v="126"/>
    <x v="393"/>
    <x v="3"/>
  </r>
  <r>
    <x v="0"/>
    <x v="48"/>
    <x v="48"/>
    <x v="25"/>
    <x v="25"/>
    <x v="25"/>
    <x v="8"/>
    <x v="191"/>
    <x v="242"/>
    <x v="79"/>
    <x v="88"/>
    <x v="126"/>
    <x v="393"/>
    <x v="3"/>
  </r>
  <r>
    <x v="0"/>
    <x v="48"/>
    <x v="48"/>
    <x v="20"/>
    <x v="20"/>
    <x v="20"/>
    <x v="8"/>
    <x v="191"/>
    <x v="242"/>
    <x v="89"/>
    <x v="318"/>
    <x v="125"/>
    <x v="220"/>
    <x v="3"/>
  </r>
  <r>
    <x v="0"/>
    <x v="48"/>
    <x v="48"/>
    <x v="4"/>
    <x v="4"/>
    <x v="4"/>
    <x v="8"/>
    <x v="191"/>
    <x v="242"/>
    <x v="89"/>
    <x v="318"/>
    <x v="125"/>
    <x v="220"/>
    <x v="3"/>
  </r>
  <r>
    <x v="0"/>
    <x v="48"/>
    <x v="48"/>
    <x v="13"/>
    <x v="13"/>
    <x v="13"/>
    <x v="8"/>
    <x v="191"/>
    <x v="242"/>
    <x v="79"/>
    <x v="88"/>
    <x v="126"/>
    <x v="393"/>
    <x v="3"/>
  </r>
  <r>
    <x v="0"/>
    <x v="48"/>
    <x v="48"/>
    <x v="26"/>
    <x v="26"/>
    <x v="26"/>
    <x v="8"/>
    <x v="191"/>
    <x v="242"/>
    <x v="79"/>
    <x v="88"/>
    <x v="126"/>
    <x v="393"/>
    <x v="3"/>
  </r>
  <r>
    <x v="0"/>
    <x v="48"/>
    <x v="48"/>
    <x v="44"/>
    <x v="44"/>
    <x v="44"/>
    <x v="8"/>
    <x v="191"/>
    <x v="242"/>
    <x v="89"/>
    <x v="318"/>
    <x v="125"/>
    <x v="220"/>
    <x v="3"/>
  </r>
  <r>
    <x v="0"/>
    <x v="48"/>
    <x v="48"/>
    <x v="14"/>
    <x v="14"/>
    <x v="14"/>
    <x v="8"/>
    <x v="191"/>
    <x v="242"/>
    <x v="89"/>
    <x v="318"/>
    <x v="125"/>
    <x v="220"/>
    <x v="3"/>
  </r>
  <r>
    <x v="0"/>
    <x v="49"/>
    <x v="49"/>
    <x v="0"/>
    <x v="0"/>
    <x v="0"/>
    <x v="0"/>
    <x v="83"/>
    <x v="452"/>
    <x v="127"/>
    <x v="470"/>
    <x v="125"/>
    <x v="220"/>
    <x v="3"/>
  </r>
  <r>
    <x v="0"/>
    <x v="49"/>
    <x v="49"/>
    <x v="2"/>
    <x v="2"/>
    <x v="2"/>
    <x v="1"/>
    <x v="131"/>
    <x v="453"/>
    <x v="88"/>
    <x v="471"/>
    <x v="67"/>
    <x v="394"/>
    <x v="3"/>
  </r>
  <r>
    <x v="0"/>
    <x v="49"/>
    <x v="49"/>
    <x v="1"/>
    <x v="1"/>
    <x v="1"/>
    <x v="1"/>
    <x v="131"/>
    <x v="453"/>
    <x v="113"/>
    <x v="472"/>
    <x v="119"/>
    <x v="396"/>
    <x v="3"/>
  </r>
  <r>
    <x v="0"/>
    <x v="49"/>
    <x v="49"/>
    <x v="5"/>
    <x v="5"/>
    <x v="5"/>
    <x v="3"/>
    <x v="164"/>
    <x v="454"/>
    <x v="121"/>
    <x v="473"/>
    <x v="94"/>
    <x v="409"/>
    <x v="3"/>
  </r>
  <r>
    <x v="0"/>
    <x v="49"/>
    <x v="49"/>
    <x v="3"/>
    <x v="3"/>
    <x v="3"/>
    <x v="4"/>
    <x v="152"/>
    <x v="455"/>
    <x v="48"/>
    <x v="31"/>
    <x v="111"/>
    <x v="410"/>
    <x v="3"/>
  </r>
  <r>
    <x v="0"/>
    <x v="49"/>
    <x v="49"/>
    <x v="7"/>
    <x v="7"/>
    <x v="7"/>
    <x v="5"/>
    <x v="153"/>
    <x v="359"/>
    <x v="76"/>
    <x v="474"/>
    <x v="83"/>
    <x v="27"/>
    <x v="3"/>
  </r>
  <r>
    <x v="0"/>
    <x v="49"/>
    <x v="49"/>
    <x v="6"/>
    <x v="6"/>
    <x v="6"/>
    <x v="6"/>
    <x v="183"/>
    <x v="102"/>
    <x v="108"/>
    <x v="3"/>
    <x v="119"/>
    <x v="396"/>
    <x v="3"/>
  </r>
  <r>
    <x v="0"/>
    <x v="49"/>
    <x v="49"/>
    <x v="11"/>
    <x v="11"/>
    <x v="11"/>
    <x v="6"/>
    <x v="183"/>
    <x v="102"/>
    <x v="16"/>
    <x v="267"/>
    <x v="120"/>
    <x v="55"/>
    <x v="3"/>
  </r>
  <r>
    <x v="0"/>
    <x v="49"/>
    <x v="49"/>
    <x v="35"/>
    <x v="35"/>
    <x v="35"/>
    <x v="8"/>
    <x v="155"/>
    <x v="360"/>
    <x v="89"/>
    <x v="475"/>
    <x v="94"/>
    <x v="409"/>
    <x v="3"/>
  </r>
  <r>
    <x v="0"/>
    <x v="49"/>
    <x v="49"/>
    <x v="13"/>
    <x v="13"/>
    <x v="13"/>
    <x v="8"/>
    <x v="155"/>
    <x v="360"/>
    <x v="37"/>
    <x v="236"/>
    <x v="113"/>
    <x v="411"/>
    <x v="3"/>
  </r>
  <r>
    <x v="0"/>
    <x v="49"/>
    <x v="49"/>
    <x v="8"/>
    <x v="8"/>
    <x v="8"/>
    <x v="10"/>
    <x v="184"/>
    <x v="107"/>
    <x v="37"/>
    <x v="236"/>
    <x v="120"/>
    <x v="55"/>
    <x v="3"/>
  </r>
  <r>
    <x v="0"/>
    <x v="49"/>
    <x v="49"/>
    <x v="14"/>
    <x v="14"/>
    <x v="14"/>
    <x v="10"/>
    <x v="184"/>
    <x v="107"/>
    <x v="91"/>
    <x v="476"/>
    <x v="126"/>
    <x v="412"/>
    <x v="3"/>
  </r>
  <r>
    <x v="0"/>
    <x v="49"/>
    <x v="49"/>
    <x v="19"/>
    <x v="19"/>
    <x v="19"/>
    <x v="12"/>
    <x v="185"/>
    <x v="176"/>
    <x v="51"/>
    <x v="477"/>
    <x v="119"/>
    <x v="396"/>
    <x v="3"/>
  </r>
  <r>
    <x v="0"/>
    <x v="49"/>
    <x v="49"/>
    <x v="16"/>
    <x v="16"/>
    <x v="16"/>
    <x v="12"/>
    <x v="185"/>
    <x v="176"/>
    <x v="79"/>
    <x v="88"/>
    <x v="117"/>
    <x v="413"/>
    <x v="3"/>
  </r>
  <r>
    <x v="0"/>
    <x v="49"/>
    <x v="49"/>
    <x v="34"/>
    <x v="34"/>
    <x v="34"/>
    <x v="14"/>
    <x v="186"/>
    <x v="361"/>
    <x v="89"/>
    <x v="475"/>
    <x v="113"/>
    <x v="411"/>
    <x v="3"/>
  </r>
  <r>
    <x v="0"/>
    <x v="49"/>
    <x v="49"/>
    <x v="22"/>
    <x v="22"/>
    <x v="22"/>
    <x v="14"/>
    <x v="186"/>
    <x v="361"/>
    <x v="128"/>
    <x v="173"/>
    <x v="120"/>
    <x v="55"/>
    <x v="3"/>
  </r>
  <r>
    <x v="0"/>
    <x v="49"/>
    <x v="49"/>
    <x v="31"/>
    <x v="31"/>
    <x v="31"/>
    <x v="16"/>
    <x v="187"/>
    <x v="178"/>
    <x v="89"/>
    <x v="475"/>
    <x v="119"/>
    <x v="396"/>
    <x v="3"/>
  </r>
  <r>
    <x v="0"/>
    <x v="49"/>
    <x v="49"/>
    <x v="36"/>
    <x v="36"/>
    <x v="36"/>
    <x v="16"/>
    <x v="187"/>
    <x v="178"/>
    <x v="79"/>
    <x v="88"/>
    <x v="113"/>
    <x v="411"/>
    <x v="3"/>
  </r>
  <r>
    <x v="0"/>
    <x v="49"/>
    <x v="49"/>
    <x v="10"/>
    <x v="10"/>
    <x v="10"/>
    <x v="16"/>
    <x v="187"/>
    <x v="178"/>
    <x v="37"/>
    <x v="236"/>
    <x v="125"/>
    <x v="220"/>
    <x v="3"/>
  </r>
  <r>
    <x v="0"/>
    <x v="49"/>
    <x v="49"/>
    <x v="27"/>
    <x v="27"/>
    <x v="27"/>
    <x v="16"/>
    <x v="187"/>
    <x v="178"/>
    <x v="54"/>
    <x v="62"/>
    <x v="125"/>
    <x v="220"/>
    <x v="3"/>
  </r>
  <r>
    <x v="0"/>
    <x v="50"/>
    <x v="50"/>
    <x v="2"/>
    <x v="2"/>
    <x v="2"/>
    <x v="0"/>
    <x v="93"/>
    <x v="284"/>
    <x v="111"/>
    <x v="478"/>
    <x v="111"/>
    <x v="414"/>
    <x v="3"/>
  </r>
  <r>
    <x v="0"/>
    <x v="50"/>
    <x v="50"/>
    <x v="0"/>
    <x v="0"/>
    <x v="0"/>
    <x v="0"/>
    <x v="93"/>
    <x v="284"/>
    <x v="81"/>
    <x v="479"/>
    <x v="121"/>
    <x v="415"/>
    <x v="3"/>
  </r>
  <r>
    <x v="0"/>
    <x v="50"/>
    <x v="50"/>
    <x v="5"/>
    <x v="5"/>
    <x v="5"/>
    <x v="2"/>
    <x v="147"/>
    <x v="286"/>
    <x v="115"/>
    <x v="480"/>
    <x v="83"/>
    <x v="416"/>
    <x v="0"/>
  </r>
  <r>
    <x v="0"/>
    <x v="50"/>
    <x v="50"/>
    <x v="3"/>
    <x v="3"/>
    <x v="3"/>
    <x v="3"/>
    <x v="139"/>
    <x v="336"/>
    <x v="52"/>
    <x v="65"/>
    <x v="86"/>
    <x v="417"/>
    <x v="3"/>
  </r>
  <r>
    <x v="0"/>
    <x v="50"/>
    <x v="50"/>
    <x v="1"/>
    <x v="1"/>
    <x v="1"/>
    <x v="4"/>
    <x v="141"/>
    <x v="456"/>
    <x v="48"/>
    <x v="481"/>
    <x v="125"/>
    <x v="220"/>
    <x v="3"/>
  </r>
  <r>
    <x v="0"/>
    <x v="50"/>
    <x v="50"/>
    <x v="7"/>
    <x v="7"/>
    <x v="7"/>
    <x v="5"/>
    <x v="154"/>
    <x v="457"/>
    <x v="108"/>
    <x v="482"/>
    <x v="120"/>
    <x v="418"/>
    <x v="3"/>
  </r>
  <r>
    <x v="0"/>
    <x v="50"/>
    <x v="50"/>
    <x v="6"/>
    <x v="6"/>
    <x v="6"/>
    <x v="6"/>
    <x v="155"/>
    <x v="289"/>
    <x v="108"/>
    <x v="482"/>
    <x v="121"/>
    <x v="415"/>
    <x v="3"/>
  </r>
  <r>
    <x v="0"/>
    <x v="50"/>
    <x v="50"/>
    <x v="8"/>
    <x v="8"/>
    <x v="8"/>
    <x v="7"/>
    <x v="184"/>
    <x v="116"/>
    <x v="128"/>
    <x v="483"/>
    <x v="83"/>
    <x v="416"/>
    <x v="3"/>
  </r>
  <r>
    <x v="0"/>
    <x v="50"/>
    <x v="50"/>
    <x v="9"/>
    <x v="9"/>
    <x v="9"/>
    <x v="7"/>
    <x v="184"/>
    <x v="116"/>
    <x v="128"/>
    <x v="483"/>
    <x v="126"/>
    <x v="419"/>
    <x v="3"/>
  </r>
  <r>
    <x v="0"/>
    <x v="50"/>
    <x v="50"/>
    <x v="32"/>
    <x v="32"/>
    <x v="32"/>
    <x v="9"/>
    <x v="186"/>
    <x v="32"/>
    <x v="51"/>
    <x v="484"/>
    <x v="121"/>
    <x v="415"/>
    <x v="0"/>
  </r>
  <r>
    <x v="0"/>
    <x v="50"/>
    <x v="50"/>
    <x v="27"/>
    <x v="27"/>
    <x v="27"/>
    <x v="10"/>
    <x v="187"/>
    <x v="458"/>
    <x v="51"/>
    <x v="484"/>
    <x v="121"/>
    <x v="415"/>
    <x v="3"/>
  </r>
  <r>
    <x v="0"/>
    <x v="50"/>
    <x v="50"/>
    <x v="14"/>
    <x v="14"/>
    <x v="14"/>
    <x v="10"/>
    <x v="187"/>
    <x v="458"/>
    <x v="51"/>
    <x v="484"/>
    <x v="121"/>
    <x v="415"/>
    <x v="3"/>
  </r>
  <r>
    <x v="0"/>
    <x v="50"/>
    <x v="50"/>
    <x v="18"/>
    <x v="18"/>
    <x v="18"/>
    <x v="12"/>
    <x v="188"/>
    <x v="72"/>
    <x v="51"/>
    <x v="484"/>
    <x v="126"/>
    <x v="419"/>
    <x v="3"/>
  </r>
  <r>
    <x v="0"/>
    <x v="50"/>
    <x v="50"/>
    <x v="40"/>
    <x v="40"/>
    <x v="40"/>
    <x v="12"/>
    <x v="188"/>
    <x v="72"/>
    <x v="51"/>
    <x v="484"/>
    <x v="126"/>
    <x v="419"/>
    <x v="3"/>
  </r>
  <r>
    <x v="0"/>
    <x v="50"/>
    <x v="50"/>
    <x v="4"/>
    <x v="4"/>
    <x v="4"/>
    <x v="12"/>
    <x v="188"/>
    <x v="72"/>
    <x v="79"/>
    <x v="88"/>
    <x v="119"/>
    <x v="194"/>
    <x v="3"/>
  </r>
  <r>
    <x v="0"/>
    <x v="50"/>
    <x v="50"/>
    <x v="16"/>
    <x v="16"/>
    <x v="16"/>
    <x v="12"/>
    <x v="188"/>
    <x v="72"/>
    <x v="79"/>
    <x v="88"/>
    <x v="119"/>
    <x v="194"/>
    <x v="3"/>
  </r>
  <r>
    <x v="0"/>
    <x v="50"/>
    <x v="50"/>
    <x v="12"/>
    <x v="12"/>
    <x v="12"/>
    <x v="16"/>
    <x v="189"/>
    <x v="212"/>
    <x v="51"/>
    <x v="484"/>
    <x v="125"/>
    <x v="220"/>
    <x v="3"/>
  </r>
  <r>
    <x v="0"/>
    <x v="50"/>
    <x v="50"/>
    <x v="37"/>
    <x v="37"/>
    <x v="37"/>
    <x v="17"/>
    <x v="190"/>
    <x v="290"/>
    <x v="89"/>
    <x v="485"/>
    <x v="126"/>
    <x v="419"/>
    <x v="3"/>
  </r>
  <r>
    <x v="0"/>
    <x v="50"/>
    <x v="50"/>
    <x v="36"/>
    <x v="36"/>
    <x v="36"/>
    <x v="17"/>
    <x v="190"/>
    <x v="290"/>
    <x v="79"/>
    <x v="88"/>
    <x v="121"/>
    <x v="415"/>
    <x v="3"/>
  </r>
  <r>
    <x v="0"/>
    <x v="50"/>
    <x v="50"/>
    <x v="25"/>
    <x v="25"/>
    <x v="25"/>
    <x v="17"/>
    <x v="190"/>
    <x v="290"/>
    <x v="89"/>
    <x v="485"/>
    <x v="126"/>
    <x v="419"/>
    <x v="3"/>
  </r>
  <r>
    <x v="0"/>
    <x v="50"/>
    <x v="50"/>
    <x v="20"/>
    <x v="20"/>
    <x v="20"/>
    <x v="17"/>
    <x v="190"/>
    <x v="290"/>
    <x v="79"/>
    <x v="88"/>
    <x v="121"/>
    <x v="415"/>
    <x v="3"/>
  </r>
  <r>
    <x v="0"/>
    <x v="50"/>
    <x v="50"/>
    <x v="13"/>
    <x v="13"/>
    <x v="13"/>
    <x v="17"/>
    <x v="190"/>
    <x v="290"/>
    <x v="128"/>
    <x v="483"/>
    <x v="125"/>
    <x v="220"/>
    <x v="3"/>
  </r>
  <r>
    <x v="0"/>
    <x v="50"/>
    <x v="50"/>
    <x v="22"/>
    <x v="22"/>
    <x v="22"/>
    <x v="17"/>
    <x v="190"/>
    <x v="290"/>
    <x v="79"/>
    <x v="88"/>
    <x v="121"/>
    <x v="415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3"/>
    <x v="13"/>
    <x v="13"/>
    <x v="14"/>
    <x v="14"/>
    <x v="14"/>
    <x v="14"/>
    <x v="0"/>
  </r>
  <r>
    <x v="0"/>
    <x v="0"/>
    <x v="0"/>
    <x v="15"/>
    <x v="15"/>
    <x v="15"/>
    <x v="14"/>
    <x v="14"/>
    <x v="13"/>
    <x v="15"/>
    <x v="15"/>
    <x v="15"/>
    <x v="15"/>
    <x v="0"/>
  </r>
  <r>
    <x v="0"/>
    <x v="0"/>
    <x v="0"/>
    <x v="16"/>
    <x v="16"/>
    <x v="16"/>
    <x v="15"/>
    <x v="15"/>
    <x v="14"/>
    <x v="16"/>
    <x v="16"/>
    <x v="16"/>
    <x v="16"/>
    <x v="0"/>
  </r>
  <r>
    <x v="0"/>
    <x v="0"/>
    <x v="0"/>
    <x v="17"/>
    <x v="17"/>
    <x v="17"/>
    <x v="16"/>
    <x v="16"/>
    <x v="15"/>
    <x v="17"/>
    <x v="17"/>
    <x v="17"/>
    <x v="17"/>
    <x v="0"/>
  </r>
  <r>
    <x v="0"/>
    <x v="0"/>
    <x v="0"/>
    <x v="18"/>
    <x v="18"/>
    <x v="18"/>
    <x v="17"/>
    <x v="17"/>
    <x v="16"/>
    <x v="18"/>
    <x v="18"/>
    <x v="18"/>
    <x v="18"/>
    <x v="1"/>
  </r>
  <r>
    <x v="0"/>
    <x v="0"/>
    <x v="0"/>
    <x v="19"/>
    <x v="19"/>
    <x v="19"/>
    <x v="18"/>
    <x v="18"/>
    <x v="16"/>
    <x v="19"/>
    <x v="19"/>
    <x v="19"/>
    <x v="19"/>
    <x v="0"/>
  </r>
  <r>
    <x v="0"/>
    <x v="1"/>
    <x v="1"/>
    <x v="1"/>
    <x v="1"/>
    <x v="1"/>
    <x v="0"/>
    <x v="19"/>
    <x v="17"/>
    <x v="20"/>
    <x v="20"/>
    <x v="20"/>
    <x v="20"/>
    <x v="0"/>
  </r>
  <r>
    <x v="0"/>
    <x v="1"/>
    <x v="1"/>
    <x v="0"/>
    <x v="0"/>
    <x v="0"/>
    <x v="1"/>
    <x v="20"/>
    <x v="18"/>
    <x v="21"/>
    <x v="21"/>
    <x v="9"/>
    <x v="21"/>
    <x v="0"/>
  </r>
  <r>
    <x v="0"/>
    <x v="1"/>
    <x v="1"/>
    <x v="4"/>
    <x v="4"/>
    <x v="4"/>
    <x v="2"/>
    <x v="21"/>
    <x v="19"/>
    <x v="22"/>
    <x v="22"/>
    <x v="21"/>
    <x v="22"/>
    <x v="0"/>
  </r>
  <r>
    <x v="0"/>
    <x v="1"/>
    <x v="1"/>
    <x v="5"/>
    <x v="5"/>
    <x v="5"/>
    <x v="3"/>
    <x v="22"/>
    <x v="20"/>
    <x v="23"/>
    <x v="23"/>
    <x v="22"/>
    <x v="23"/>
    <x v="0"/>
  </r>
  <r>
    <x v="0"/>
    <x v="1"/>
    <x v="1"/>
    <x v="2"/>
    <x v="2"/>
    <x v="2"/>
    <x v="4"/>
    <x v="23"/>
    <x v="3"/>
    <x v="24"/>
    <x v="24"/>
    <x v="23"/>
    <x v="24"/>
    <x v="0"/>
  </r>
  <r>
    <x v="0"/>
    <x v="1"/>
    <x v="1"/>
    <x v="11"/>
    <x v="11"/>
    <x v="11"/>
    <x v="5"/>
    <x v="24"/>
    <x v="6"/>
    <x v="25"/>
    <x v="25"/>
    <x v="24"/>
    <x v="25"/>
    <x v="3"/>
  </r>
  <r>
    <x v="0"/>
    <x v="1"/>
    <x v="1"/>
    <x v="18"/>
    <x v="18"/>
    <x v="18"/>
    <x v="6"/>
    <x v="25"/>
    <x v="21"/>
    <x v="26"/>
    <x v="26"/>
    <x v="25"/>
    <x v="26"/>
    <x v="1"/>
  </r>
  <r>
    <x v="0"/>
    <x v="1"/>
    <x v="1"/>
    <x v="15"/>
    <x v="15"/>
    <x v="15"/>
    <x v="7"/>
    <x v="26"/>
    <x v="22"/>
    <x v="27"/>
    <x v="27"/>
    <x v="26"/>
    <x v="27"/>
    <x v="0"/>
  </r>
  <r>
    <x v="0"/>
    <x v="1"/>
    <x v="1"/>
    <x v="8"/>
    <x v="8"/>
    <x v="8"/>
    <x v="7"/>
    <x v="26"/>
    <x v="22"/>
    <x v="28"/>
    <x v="28"/>
    <x v="27"/>
    <x v="9"/>
    <x v="0"/>
  </r>
  <r>
    <x v="0"/>
    <x v="1"/>
    <x v="1"/>
    <x v="9"/>
    <x v="9"/>
    <x v="9"/>
    <x v="9"/>
    <x v="27"/>
    <x v="23"/>
    <x v="29"/>
    <x v="29"/>
    <x v="28"/>
    <x v="28"/>
    <x v="0"/>
  </r>
  <r>
    <x v="0"/>
    <x v="1"/>
    <x v="1"/>
    <x v="20"/>
    <x v="20"/>
    <x v="20"/>
    <x v="10"/>
    <x v="28"/>
    <x v="24"/>
    <x v="30"/>
    <x v="30"/>
    <x v="29"/>
    <x v="29"/>
    <x v="3"/>
  </r>
  <r>
    <x v="0"/>
    <x v="1"/>
    <x v="1"/>
    <x v="10"/>
    <x v="10"/>
    <x v="10"/>
    <x v="11"/>
    <x v="29"/>
    <x v="25"/>
    <x v="31"/>
    <x v="31"/>
    <x v="30"/>
    <x v="30"/>
    <x v="0"/>
  </r>
  <r>
    <x v="0"/>
    <x v="1"/>
    <x v="1"/>
    <x v="3"/>
    <x v="3"/>
    <x v="3"/>
    <x v="12"/>
    <x v="30"/>
    <x v="26"/>
    <x v="32"/>
    <x v="32"/>
    <x v="31"/>
    <x v="31"/>
    <x v="0"/>
  </r>
  <r>
    <x v="0"/>
    <x v="1"/>
    <x v="1"/>
    <x v="6"/>
    <x v="6"/>
    <x v="6"/>
    <x v="13"/>
    <x v="31"/>
    <x v="27"/>
    <x v="33"/>
    <x v="33"/>
    <x v="32"/>
    <x v="32"/>
    <x v="0"/>
  </r>
  <r>
    <x v="0"/>
    <x v="1"/>
    <x v="1"/>
    <x v="16"/>
    <x v="16"/>
    <x v="16"/>
    <x v="19"/>
    <x v="32"/>
    <x v="28"/>
    <x v="34"/>
    <x v="34"/>
    <x v="33"/>
    <x v="33"/>
    <x v="0"/>
  </r>
  <r>
    <x v="0"/>
    <x v="1"/>
    <x v="1"/>
    <x v="7"/>
    <x v="7"/>
    <x v="7"/>
    <x v="14"/>
    <x v="33"/>
    <x v="28"/>
    <x v="35"/>
    <x v="35"/>
    <x v="34"/>
    <x v="34"/>
    <x v="3"/>
  </r>
  <r>
    <x v="0"/>
    <x v="1"/>
    <x v="1"/>
    <x v="19"/>
    <x v="19"/>
    <x v="19"/>
    <x v="15"/>
    <x v="34"/>
    <x v="29"/>
    <x v="36"/>
    <x v="36"/>
    <x v="35"/>
    <x v="35"/>
    <x v="0"/>
  </r>
  <r>
    <x v="0"/>
    <x v="1"/>
    <x v="1"/>
    <x v="17"/>
    <x v="17"/>
    <x v="17"/>
    <x v="16"/>
    <x v="35"/>
    <x v="30"/>
    <x v="37"/>
    <x v="37"/>
    <x v="36"/>
    <x v="36"/>
    <x v="0"/>
  </r>
  <r>
    <x v="0"/>
    <x v="1"/>
    <x v="1"/>
    <x v="14"/>
    <x v="14"/>
    <x v="14"/>
    <x v="17"/>
    <x v="36"/>
    <x v="31"/>
    <x v="38"/>
    <x v="38"/>
    <x v="37"/>
    <x v="37"/>
    <x v="0"/>
  </r>
  <r>
    <x v="0"/>
    <x v="1"/>
    <x v="1"/>
    <x v="12"/>
    <x v="12"/>
    <x v="12"/>
    <x v="18"/>
    <x v="37"/>
    <x v="32"/>
    <x v="39"/>
    <x v="39"/>
    <x v="38"/>
    <x v="38"/>
    <x v="0"/>
  </r>
  <r>
    <x v="0"/>
    <x v="2"/>
    <x v="2"/>
    <x v="4"/>
    <x v="4"/>
    <x v="4"/>
    <x v="0"/>
    <x v="38"/>
    <x v="33"/>
    <x v="40"/>
    <x v="40"/>
    <x v="39"/>
    <x v="39"/>
    <x v="0"/>
  </r>
  <r>
    <x v="0"/>
    <x v="2"/>
    <x v="2"/>
    <x v="1"/>
    <x v="1"/>
    <x v="1"/>
    <x v="1"/>
    <x v="39"/>
    <x v="34"/>
    <x v="41"/>
    <x v="41"/>
    <x v="40"/>
    <x v="40"/>
    <x v="0"/>
  </r>
  <r>
    <x v="0"/>
    <x v="2"/>
    <x v="2"/>
    <x v="0"/>
    <x v="0"/>
    <x v="0"/>
    <x v="2"/>
    <x v="40"/>
    <x v="35"/>
    <x v="42"/>
    <x v="42"/>
    <x v="41"/>
    <x v="41"/>
    <x v="0"/>
  </r>
  <r>
    <x v="0"/>
    <x v="2"/>
    <x v="2"/>
    <x v="5"/>
    <x v="5"/>
    <x v="5"/>
    <x v="3"/>
    <x v="41"/>
    <x v="36"/>
    <x v="43"/>
    <x v="43"/>
    <x v="42"/>
    <x v="14"/>
    <x v="0"/>
  </r>
  <r>
    <x v="0"/>
    <x v="2"/>
    <x v="2"/>
    <x v="9"/>
    <x v="9"/>
    <x v="9"/>
    <x v="4"/>
    <x v="42"/>
    <x v="37"/>
    <x v="44"/>
    <x v="44"/>
    <x v="43"/>
    <x v="42"/>
    <x v="0"/>
  </r>
  <r>
    <x v="0"/>
    <x v="2"/>
    <x v="2"/>
    <x v="18"/>
    <x v="18"/>
    <x v="18"/>
    <x v="5"/>
    <x v="43"/>
    <x v="19"/>
    <x v="45"/>
    <x v="45"/>
    <x v="44"/>
    <x v="43"/>
    <x v="3"/>
  </r>
  <r>
    <x v="0"/>
    <x v="2"/>
    <x v="2"/>
    <x v="20"/>
    <x v="20"/>
    <x v="20"/>
    <x v="6"/>
    <x v="44"/>
    <x v="38"/>
    <x v="46"/>
    <x v="17"/>
    <x v="45"/>
    <x v="44"/>
    <x v="3"/>
  </r>
  <r>
    <x v="0"/>
    <x v="2"/>
    <x v="2"/>
    <x v="19"/>
    <x v="19"/>
    <x v="19"/>
    <x v="7"/>
    <x v="45"/>
    <x v="39"/>
    <x v="47"/>
    <x v="46"/>
    <x v="46"/>
    <x v="45"/>
    <x v="0"/>
  </r>
  <r>
    <x v="0"/>
    <x v="2"/>
    <x v="2"/>
    <x v="10"/>
    <x v="10"/>
    <x v="10"/>
    <x v="7"/>
    <x v="45"/>
    <x v="39"/>
    <x v="48"/>
    <x v="8"/>
    <x v="39"/>
    <x v="39"/>
    <x v="0"/>
  </r>
  <r>
    <x v="0"/>
    <x v="2"/>
    <x v="2"/>
    <x v="11"/>
    <x v="11"/>
    <x v="11"/>
    <x v="9"/>
    <x v="46"/>
    <x v="40"/>
    <x v="49"/>
    <x v="47"/>
    <x v="23"/>
    <x v="0"/>
    <x v="0"/>
  </r>
  <r>
    <x v="0"/>
    <x v="2"/>
    <x v="2"/>
    <x v="15"/>
    <x v="15"/>
    <x v="15"/>
    <x v="10"/>
    <x v="47"/>
    <x v="9"/>
    <x v="50"/>
    <x v="48"/>
    <x v="47"/>
    <x v="46"/>
    <x v="0"/>
  </r>
  <r>
    <x v="0"/>
    <x v="2"/>
    <x v="2"/>
    <x v="2"/>
    <x v="2"/>
    <x v="2"/>
    <x v="11"/>
    <x v="48"/>
    <x v="41"/>
    <x v="51"/>
    <x v="25"/>
    <x v="48"/>
    <x v="47"/>
    <x v="0"/>
  </r>
  <r>
    <x v="0"/>
    <x v="2"/>
    <x v="2"/>
    <x v="16"/>
    <x v="16"/>
    <x v="16"/>
    <x v="12"/>
    <x v="49"/>
    <x v="42"/>
    <x v="52"/>
    <x v="30"/>
    <x v="49"/>
    <x v="48"/>
    <x v="0"/>
  </r>
  <r>
    <x v="0"/>
    <x v="2"/>
    <x v="2"/>
    <x v="8"/>
    <x v="8"/>
    <x v="8"/>
    <x v="13"/>
    <x v="50"/>
    <x v="43"/>
    <x v="53"/>
    <x v="49"/>
    <x v="50"/>
    <x v="4"/>
    <x v="0"/>
  </r>
  <r>
    <x v="0"/>
    <x v="2"/>
    <x v="2"/>
    <x v="7"/>
    <x v="7"/>
    <x v="7"/>
    <x v="19"/>
    <x v="51"/>
    <x v="13"/>
    <x v="54"/>
    <x v="50"/>
    <x v="51"/>
    <x v="49"/>
    <x v="0"/>
  </r>
  <r>
    <x v="0"/>
    <x v="2"/>
    <x v="2"/>
    <x v="21"/>
    <x v="21"/>
    <x v="21"/>
    <x v="14"/>
    <x v="52"/>
    <x v="44"/>
    <x v="55"/>
    <x v="51"/>
    <x v="24"/>
    <x v="50"/>
    <x v="0"/>
  </r>
  <r>
    <x v="0"/>
    <x v="2"/>
    <x v="2"/>
    <x v="22"/>
    <x v="22"/>
    <x v="22"/>
    <x v="15"/>
    <x v="53"/>
    <x v="45"/>
    <x v="56"/>
    <x v="52"/>
    <x v="52"/>
    <x v="51"/>
    <x v="0"/>
  </r>
  <r>
    <x v="0"/>
    <x v="2"/>
    <x v="2"/>
    <x v="23"/>
    <x v="23"/>
    <x v="23"/>
    <x v="16"/>
    <x v="54"/>
    <x v="46"/>
    <x v="57"/>
    <x v="53"/>
    <x v="53"/>
    <x v="52"/>
    <x v="0"/>
  </r>
  <r>
    <x v="0"/>
    <x v="2"/>
    <x v="2"/>
    <x v="24"/>
    <x v="24"/>
    <x v="24"/>
    <x v="16"/>
    <x v="54"/>
    <x v="46"/>
    <x v="30"/>
    <x v="54"/>
    <x v="54"/>
    <x v="53"/>
    <x v="0"/>
  </r>
  <r>
    <x v="0"/>
    <x v="2"/>
    <x v="2"/>
    <x v="25"/>
    <x v="25"/>
    <x v="25"/>
    <x v="18"/>
    <x v="55"/>
    <x v="47"/>
    <x v="58"/>
    <x v="55"/>
    <x v="55"/>
    <x v="54"/>
    <x v="0"/>
  </r>
  <r>
    <x v="0"/>
    <x v="2"/>
    <x v="2"/>
    <x v="26"/>
    <x v="26"/>
    <x v="26"/>
    <x v="18"/>
    <x v="55"/>
    <x v="47"/>
    <x v="59"/>
    <x v="56"/>
    <x v="56"/>
    <x v="55"/>
    <x v="0"/>
  </r>
  <r>
    <x v="0"/>
    <x v="3"/>
    <x v="3"/>
    <x v="0"/>
    <x v="0"/>
    <x v="0"/>
    <x v="0"/>
    <x v="56"/>
    <x v="48"/>
    <x v="60"/>
    <x v="57"/>
    <x v="55"/>
    <x v="56"/>
    <x v="0"/>
  </r>
  <r>
    <x v="0"/>
    <x v="3"/>
    <x v="3"/>
    <x v="1"/>
    <x v="1"/>
    <x v="1"/>
    <x v="1"/>
    <x v="57"/>
    <x v="49"/>
    <x v="61"/>
    <x v="58"/>
    <x v="57"/>
    <x v="57"/>
    <x v="0"/>
  </r>
  <r>
    <x v="0"/>
    <x v="3"/>
    <x v="3"/>
    <x v="15"/>
    <x v="15"/>
    <x v="15"/>
    <x v="2"/>
    <x v="58"/>
    <x v="50"/>
    <x v="62"/>
    <x v="59"/>
    <x v="58"/>
    <x v="58"/>
    <x v="0"/>
  </r>
  <r>
    <x v="0"/>
    <x v="3"/>
    <x v="3"/>
    <x v="6"/>
    <x v="6"/>
    <x v="6"/>
    <x v="3"/>
    <x v="59"/>
    <x v="51"/>
    <x v="63"/>
    <x v="60"/>
    <x v="41"/>
    <x v="37"/>
    <x v="0"/>
  </r>
  <r>
    <x v="0"/>
    <x v="3"/>
    <x v="3"/>
    <x v="2"/>
    <x v="2"/>
    <x v="2"/>
    <x v="4"/>
    <x v="60"/>
    <x v="52"/>
    <x v="64"/>
    <x v="61"/>
    <x v="59"/>
    <x v="59"/>
    <x v="0"/>
  </r>
  <r>
    <x v="0"/>
    <x v="3"/>
    <x v="3"/>
    <x v="8"/>
    <x v="8"/>
    <x v="8"/>
    <x v="5"/>
    <x v="61"/>
    <x v="39"/>
    <x v="65"/>
    <x v="62"/>
    <x v="60"/>
    <x v="60"/>
    <x v="0"/>
  </r>
  <r>
    <x v="0"/>
    <x v="3"/>
    <x v="3"/>
    <x v="11"/>
    <x v="11"/>
    <x v="11"/>
    <x v="6"/>
    <x v="62"/>
    <x v="53"/>
    <x v="66"/>
    <x v="63"/>
    <x v="61"/>
    <x v="61"/>
    <x v="0"/>
  </r>
  <r>
    <x v="0"/>
    <x v="3"/>
    <x v="3"/>
    <x v="3"/>
    <x v="3"/>
    <x v="3"/>
    <x v="7"/>
    <x v="63"/>
    <x v="54"/>
    <x v="55"/>
    <x v="64"/>
    <x v="62"/>
    <x v="62"/>
    <x v="0"/>
  </r>
  <r>
    <x v="0"/>
    <x v="3"/>
    <x v="3"/>
    <x v="20"/>
    <x v="20"/>
    <x v="20"/>
    <x v="8"/>
    <x v="64"/>
    <x v="7"/>
    <x v="46"/>
    <x v="19"/>
    <x v="63"/>
    <x v="63"/>
    <x v="0"/>
  </r>
  <r>
    <x v="0"/>
    <x v="3"/>
    <x v="3"/>
    <x v="17"/>
    <x v="17"/>
    <x v="17"/>
    <x v="9"/>
    <x v="65"/>
    <x v="55"/>
    <x v="67"/>
    <x v="65"/>
    <x v="64"/>
    <x v="64"/>
    <x v="0"/>
  </r>
  <r>
    <x v="0"/>
    <x v="3"/>
    <x v="3"/>
    <x v="18"/>
    <x v="18"/>
    <x v="18"/>
    <x v="10"/>
    <x v="66"/>
    <x v="56"/>
    <x v="68"/>
    <x v="66"/>
    <x v="65"/>
    <x v="65"/>
    <x v="0"/>
  </r>
  <r>
    <x v="0"/>
    <x v="3"/>
    <x v="3"/>
    <x v="5"/>
    <x v="5"/>
    <x v="5"/>
    <x v="11"/>
    <x v="67"/>
    <x v="41"/>
    <x v="34"/>
    <x v="41"/>
    <x v="66"/>
    <x v="66"/>
    <x v="0"/>
  </r>
  <r>
    <x v="0"/>
    <x v="3"/>
    <x v="3"/>
    <x v="14"/>
    <x v="14"/>
    <x v="14"/>
    <x v="12"/>
    <x v="68"/>
    <x v="57"/>
    <x v="69"/>
    <x v="16"/>
    <x v="21"/>
    <x v="67"/>
    <x v="0"/>
  </r>
  <r>
    <x v="0"/>
    <x v="3"/>
    <x v="3"/>
    <x v="27"/>
    <x v="27"/>
    <x v="27"/>
    <x v="13"/>
    <x v="69"/>
    <x v="58"/>
    <x v="70"/>
    <x v="67"/>
    <x v="67"/>
    <x v="68"/>
    <x v="0"/>
  </r>
  <r>
    <x v="0"/>
    <x v="3"/>
    <x v="3"/>
    <x v="13"/>
    <x v="13"/>
    <x v="13"/>
    <x v="19"/>
    <x v="70"/>
    <x v="59"/>
    <x v="69"/>
    <x v="16"/>
    <x v="68"/>
    <x v="69"/>
    <x v="0"/>
  </r>
  <r>
    <x v="0"/>
    <x v="3"/>
    <x v="3"/>
    <x v="12"/>
    <x v="12"/>
    <x v="12"/>
    <x v="14"/>
    <x v="71"/>
    <x v="60"/>
    <x v="71"/>
    <x v="68"/>
    <x v="55"/>
    <x v="56"/>
    <x v="0"/>
  </r>
  <r>
    <x v="0"/>
    <x v="3"/>
    <x v="3"/>
    <x v="21"/>
    <x v="21"/>
    <x v="21"/>
    <x v="15"/>
    <x v="72"/>
    <x v="61"/>
    <x v="72"/>
    <x v="69"/>
    <x v="28"/>
    <x v="70"/>
    <x v="0"/>
  </r>
  <r>
    <x v="0"/>
    <x v="3"/>
    <x v="3"/>
    <x v="25"/>
    <x v="25"/>
    <x v="25"/>
    <x v="16"/>
    <x v="73"/>
    <x v="62"/>
    <x v="73"/>
    <x v="70"/>
    <x v="69"/>
    <x v="21"/>
    <x v="0"/>
  </r>
  <r>
    <x v="0"/>
    <x v="3"/>
    <x v="3"/>
    <x v="28"/>
    <x v="28"/>
    <x v="28"/>
    <x v="17"/>
    <x v="74"/>
    <x v="63"/>
    <x v="74"/>
    <x v="71"/>
    <x v="27"/>
    <x v="71"/>
    <x v="0"/>
  </r>
  <r>
    <x v="0"/>
    <x v="3"/>
    <x v="3"/>
    <x v="23"/>
    <x v="23"/>
    <x v="23"/>
    <x v="17"/>
    <x v="74"/>
    <x v="63"/>
    <x v="58"/>
    <x v="72"/>
    <x v="53"/>
    <x v="72"/>
    <x v="0"/>
  </r>
  <r>
    <x v="0"/>
    <x v="4"/>
    <x v="4"/>
    <x v="0"/>
    <x v="0"/>
    <x v="0"/>
    <x v="0"/>
    <x v="54"/>
    <x v="64"/>
    <x v="75"/>
    <x v="73"/>
    <x v="48"/>
    <x v="73"/>
    <x v="0"/>
  </r>
  <r>
    <x v="0"/>
    <x v="4"/>
    <x v="4"/>
    <x v="1"/>
    <x v="1"/>
    <x v="1"/>
    <x v="1"/>
    <x v="75"/>
    <x v="65"/>
    <x v="76"/>
    <x v="74"/>
    <x v="43"/>
    <x v="74"/>
    <x v="0"/>
  </r>
  <r>
    <x v="0"/>
    <x v="4"/>
    <x v="4"/>
    <x v="2"/>
    <x v="2"/>
    <x v="2"/>
    <x v="2"/>
    <x v="70"/>
    <x v="66"/>
    <x v="47"/>
    <x v="75"/>
    <x v="70"/>
    <x v="53"/>
    <x v="0"/>
  </r>
  <r>
    <x v="0"/>
    <x v="4"/>
    <x v="4"/>
    <x v="3"/>
    <x v="3"/>
    <x v="3"/>
    <x v="3"/>
    <x v="76"/>
    <x v="67"/>
    <x v="68"/>
    <x v="76"/>
    <x v="71"/>
    <x v="75"/>
    <x v="0"/>
  </r>
  <r>
    <x v="0"/>
    <x v="4"/>
    <x v="4"/>
    <x v="7"/>
    <x v="7"/>
    <x v="7"/>
    <x v="3"/>
    <x v="76"/>
    <x v="67"/>
    <x v="37"/>
    <x v="77"/>
    <x v="72"/>
    <x v="36"/>
    <x v="0"/>
  </r>
  <r>
    <x v="0"/>
    <x v="4"/>
    <x v="4"/>
    <x v="10"/>
    <x v="10"/>
    <x v="10"/>
    <x v="5"/>
    <x v="77"/>
    <x v="52"/>
    <x v="77"/>
    <x v="78"/>
    <x v="73"/>
    <x v="76"/>
    <x v="0"/>
  </r>
  <r>
    <x v="0"/>
    <x v="4"/>
    <x v="4"/>
    <x v="29"/>
    <x v="29"/>
    <x v="29"/>
    <x v="6"/>
    <x v="78"/>
    <x v="68"/>
    <x v="74"/>
    <x v="79"/>
    <x v="74"/>
    <x v="77"/>
    <x v="0"/>
  </r>
  <r>
    <x v="0"/>
    <x v="4"/>
    <x v="4"/>
    <x v="16"/>
    <x v="16"/>
    <x v="16"/>
    <x v="7"/>
    <x v="79"/>
    <x v="69"/>
    <x v="67"/>
    <x v="80"/>
    <x v="75"/>
    <x v="78"/>
    <x v="0"/>
  </r>
  <r>
    <x v="0"/>
    <x v="4"/>
    <x v="4"/>
    <x v="5"/>
    <x v="5"/>
    <x v="5"/>
    <x v="8"/>
    <x v="80"/>
    <x v="70"/>
    <x v="46"/>
    <x v="6"/>
    <x v="76"/>
    <x v="79"/>
    <x v="0"/>
  </r>
  <r>
    <x v="0"/>
    <x v="4"/>
    <x v="4"/>
    <x v="8"/>
    <x v="8"/>
    <x v="8"/>
    <x v="8"/>
    <x v="80"/>
    <x v="70"/>
    <x v="26"/>
    <x v="81"/>
    <x v="70"/>
    <x v="53"/>
    <x v="0"/>
  </r>
  <r>
    <x v="0"/>
    <x v="4"/>
    <x v="4"/>
    <x v="19"/>
    <x v="19"/>
    <x v="19"/>
    <x v="10"/>
    <x v="81"/>
    <x v="43"/>
    <x v="78"/>
    <x v="82"/>
    <x v="69"/>
    <x v="80"/>
    <x v="0"/>
  </r>
  <r>
    <x v="0"/>
    <x v="4"/>
    <x v="4"/>
    <x v="6"/>
    <x v="6"/>
    <x v="6"/>
    <x v="10"/>
    <x v="81"/>
    <x v="43"/>
    <x v="79"/>
    <x v="83"/>
    <x v="54"/>
    <x v="81"/>
    <x v="0"/>
  </r>
  <r>
    <x v="0"/>
    <x v="4"/>
    <x v="4"/>
    <x v="18"/>
    <x v="18"/>
    <x v="18"/>
    <x v="12"/>
    <x v="82"/>
    <x v="71"/>
    <x v="72"/>
    <x v="84"/>
    <x v="69"/>
    <x v="80"/>
    <x v="4"/>
  </r>
  <r>
    <x v="0"/>
    <x v="4"/>
    <x v="4"/>
    <x v="11"/>
    <x v="11"/>
    <x v="11"/>
    <x v="12"/>
    <x v="82"/>
    <x v="71"/>
    <x v="62"/>
    <x v="85"/>
    <x v="77"/>
    <x v="82"/>
    <x v="0"/>
  </r>
  <r>
    <x v="0"/>
    <x v="4"/>
    <x v="4"/>
    <x v="25"/>
    <x v="25"/>
    <x v="25"/>
    <x v="19"/>
    <x v="83"/>
    <x v="72"/>
    <x v="79"/>
    <x v="83"/>
    <x v="78"/>
    <x v="25"/>
    <x v="0"/>
  </r>
  <r>
    <x v="0"/>
    <x v="4"/>
    <x v="4"/>
    <x v="12"/>
    <x v="12"/>
    <x v="12"/>
    <x v="19"/>
    <x v="83"/>
    <x v="72"/>
    <x v="70"/>
    <x v="86"/>
    <x v="50"/>
    <x v="35"/>
    <x v="0"/>
  </r>
  <r>
    <x v="0"/>
    <x v="4"/>
    <x v="4"/>
    <x v="15"/>
    <x v="15"/>
    <x v="15"/>
    <x v="15"/>
    <x v="84"/>
    <x v="62"/>
    <x v="80"/>
    <x v="45"/>
    <x v="55"/>
    <x v="83"/>
    <x v="0"/>
  </r>
  <r>
    <x v="0"/>
    <x v="4"/>
    <x v="4"/>
    <x v="20"/>
    <x v="20"/>
    <x v="20"/>
    <x v="16"/>
    <x v="85"/>
    <x v="73"/>
    <x v="78"/>
    <x v="82"/>
    <x v="50"/>
    <x v="35"/>
    <x v="0"/>
  </r>
  <r>
    <x v="0"/>
    <x v="4"/>
    <x v="4"/>
    <x v="17"/>
    <x v="17"/>
    <x v="17"/>
    <x v="17"/>
    <x v="86"/>
    <x v="74"/>
    <x v="68"/>
    <x v="76"/>
    <x v="60"/>
    <x v="84"/>
    <x v="0"/>
  </r>
  <r>
    <x v="0"/>
    <x v="4"/>
    <x v="4"/>
    <x v="14"/>
    <x v="14"/>
    <x v="14"/>
    <x v="18"/>
    <x v="87"/>
    <x v="75"/>
    <x v="74"/>
    <x v="79"/>
    <x v="66"/>
    <x v="85"/>
    <x v="0"/>
  </r>
  <r>
    <x v="0"/>
    <x v="4"/>
    <x v="4"/>
    <x v="30"/>
    <x v="30"/>
    <x v="30"/>
    <x v="18"/>
    <x v="87"/>
    <x v="75"/>
    <x v="78"/>
    <x v="82"/>
    <x v="60"/>
    <x v="84"/>
    <x v="0"/>
  </r>
  <r>
    <x v="0"/>
    <x v="4"/>
    <x v="4"/>
    <x v="31"/>
    <x v="31"/>
    <x v="31"/>
    <x v="18"/>
    <x v="87"/>
    <x v="75"/>
    <x v="74"/>
    <x v="79"/>
    <x v="66"/>
    <x v="85"/>
    <x v="0"/>
  </r>
  <r>
    <x v="0"/>
    <x v="5"/>
    <x v="5"/>
    <x v="0"/>
    <x v="0"/>
    <x v="0"/>
    <x v="0"/>
    <x v="88"/>
    <x v="76"/>
    <x v="81"/>
    <x v="87"/>
    <x v="54"/>
    <x v="38"/>
    <x v="0"/>
  </r>
  <r>
    <x v="0"/>
    <x v="5"/>
    <x v="5"/>
    <x v="1"/>
    <x v="1"/>
    <x v="1"/>
    <x v="1"/>
    <x v="59"/>
    <x v="77"/>
    <x v="82"/>
    <x v="88"/>
    <x v="63"/>
    <x v="86"/>
    <x v="0"/>
  </r>
  <r>
    <x v="0"/>
    <x v="5"/>
    <x v="5"/>
    <x v="6"/>
    <x v="6"/>
    <x v="6"/>
    <x v="2"/>
    <x v="54"/>
    <x v="78"/>
    <x v="83"/>
    <x v="89"/>
    <x v="79"/>
    <x v="87"/>
    <x v="0"/>
  </r>
  <r>
    <x v="0"/>
    <x v="5"/>
    <x v="5"/>
    <x v="2"/>
    <x v="2"/>
    <x v="2"/>
    <x v="3"/>
    <x v="89"/>
    <x v="79"/>
    <x v="63"/>
    <x v="90"/>
    <x v="80"/>
    <x v="88"/>
    <x v="0"/>
  </r>
  <r>
    <x v="0"/>
    <x v="5"/>
    <x v="5"/>
    <x v="3"/>
    <x v="3"/>
    <x v="3"/>
    <x v="4"/>
    <x v="90"/>
    <x v="80"/>
    <x v="74"/>
    <x v="3"/>
    <x v="21"/>
    <x v="89"/>
    <x v="0"/>
  </r>
  <r>
    <x v="0"/>
    <x v="5"/>
    <x v="5"/>
    <x v="12"/>
    <x v="12"/>
    <x v="12"/>
    <x v="5"/>
    <x v="91"/>
    <x v="81"/>
    <x v="84"/>
    <x v="91"/>
    <x v="72"/>
    <x v="90"/>
    <x v="0"/>
  </r>
  <r>
    <x v="0"/>
    <x v="5"/>
    <x v="5"/>
    <x v="14"/>
    <x v="14"/>
    <x v="14"/>
    <x v="6"/>
    <x v="69"/>
    <x v="39"/>
    <x v="79"/>
    <x v="92"/>
    <x v="81"/>
    <x v="91"/>
    <x v="0"/>
  </r>
  <r>
    <x v="0"/>
    <x v="5"/>
    <x v="5"/>
    <x v="11"/>
    <x v="11"/>
    <x v="11"/>
    <x v="7"/>
    <x v="72"/>
    <x v="82"/>
    <x v="82"/>
    <x v="88"/>
    <x v="55"/>
    <x v="92"/>
    <x v="0"/>
  </r>
  <r>
    <x v="0"/>
    <x v="5"/>
    <x v="5"/>
    <x v="8"/>
    <x v="8"/>
    <x v="8"/>
    <x v="8"/>
    <x v="92"/>
    <x v="22"/>
    <x v="59"/>
    <x v="93"/>
    <x v="82"/>
    <x v="93"/>
    <x v="0"/>
  </r>
  <r>
    <x v="0"/>
    <x v="5"/>
    <x v="5"/>
    <x v="5"/>
    <x v="5"/>
    <x v="5"/>
    <x v="9"/>
    <x v="76"/>
    <x v="43"/>
    <x v="85"/>
    <x v="94"/>
    <x v="54"/>
    <x v="38"/>
    <x v="0"/>
  </r>
  <r>
    <x v="0"/>
    <x v="5"/>
    <x v="5"/>
    <x v="17"/>
    <x v="17"/>
    <x v="17"/>
    <x v="10"/>
    <x v="93"/>
    <x v="83"/>
    <x v="67"/>
    <x v="95"/>
    <x v="83"/>
    <x v="94"/>
    <x v="0"/>
  </r>
  <r>
    <x v="0"/>
    <x v="5"/>
    <x v="5"/>
    <x v="13"/>
    <x v="13"/>
    <x v="13"/>
    <x v="11"/>
    <x v="94"/>
    <x v="84"/>
    <x v="86"/>
    <x v="96"/>
    <x v="79"/>
    <x v="87"/>
    <x v="0"/>
  </r>
  <r>
    <x v="0"/>
    <x v="5"/>
    <x v="5"/>
    <x v="18"/>
    <x v="18"/>
    <x v="18"/>
    <x v="11"/>
    <x v="94"/>
    <x v="84"/>
    <x v="80"/>
    <x v="97"/>
    <x v="71"/>
    <x v="95"/>
    <x v="3"/>
  </r>
  <r>
    <x v="0"/>
    <x v="5"/>
    <x v="5"/>
    <x v="15"/>
    <x v="15"/>
    <x v="15"/>
    <x v="11"/>
    <x v="94"/>
    <x v="84"/>
    <x v="45"/>
    <x v="98"/>
    <x v="74"/>
    <x v="96"/>
    <x v="0"/>
  </r>
  <r>
    <x v="0"/>
    <x v="5"/>
    <x v="5"/>
    <x v="27"/>
    <x v="27"/>
    <x v="27"/>
    <x v="19"/>
    <x v="95"/>
    <x v="85"/>
    <x v="68"/>
    <x v="99"/>
    <x v="84"/>
    <x v="97"/>
    <x v="0"/>
  </r>
  <r>
    <x v="0"/>
    <x v="5"/>
    <x v="5"/>
    <x v="10"/>
    <x v="10"/>
    <x v="10"/>
    <x v="14"/>
    <x v="96"/>
    <x v="13"/>
    <x v="87"/>
    <x v="70"/>
    <x v="73"/>
    <x v="10"/>
    <x v="0"/>
  </r>
  <r>
    <x v="0"/>
    <x v="5"/>
    <x v="5"/>
    <x v="20"/>
    <x v="20"/>
    <x v="20"/>
    <x v="14"/>
    <x v="96"/>
    <x v="13"/>
    <x v="88"/>
    <x v="100"/>
    <x v="74"/>
    <x v="96"/>
    <x v="0"/>
  </r>
  <r>
    <x v="0"/>
    <x v="5"/>
    <x v="5"/>
    <x v="7"/>
    <x v="7"/>
    <x v="7"/>
    <x v="16"/>
    <x v="78"/>
    <x v="60"/>
    <x v="87"/>
    <x v="70"/>
    <x v="50"/>
    <x v="98"/>
    <x v="3"/>
  </r>
  <r>
    <x v="0"/>
    <x v="5"/>
    <x v="5"/>
    <x v="16"/>
    <x v="16"/>
    <x v="16"/>
    <x v="16"/>
    <x v="78"/>
    <x v="60"/>
    <x v="86"/>
    <x v="96"/>
    <x v="85"/>
    <x v="99"/>
    <x v="0"/>
  </r>
  <r>
    <x v="0"/>
    <x v="5"/>
    <x v="5"/>
    <x v="28"/>
    <x v="28"/>
    <x v="28"/>
    <x v="18"/>
    <x v="97"/>
    <x v="16"/>
    <x v="88"/>
    <x v="100"/>
    <x v="61"/>
    <x v="100"/>
    <x v="0"/>
  </r>
  <r>
    <x v="0"/>
    <x v="6"/>
    <x v="6"/>
    <x v="1"/>
    <x v="1"/>
    <x v="1"/>
    <x v="0"/>
    <x v="46"/>
    <x v="86"/>
    <x v="89"/>
    <x v="101"/>
    <x v="86"/>
    <x v="101"/>
    <x v="0"/>
  </r>
  <r>
    <x v="0"/>
    <x v="6"/>
    <x v="6"/>
    <x v="0"/>
    <x v="0"/>
    <x v="0"/>
    <x v="1"/>
    <x v="58"/>
    <x v="48"/>
    <x v="90"/>
    <x v="102"/>
    <x v="54"/>
    <x v="82"/>
    <x v="0"/>
  </r>
  <r>
    <x v="0"/>
    <x v="6"/>
    <x v="6"/>
    <x v="2"/>
    <x v="2"/>
    <x v="2"/>
    <x v="2"/>
    <x v="98"/>
    <x v="87"/>
    <x v="91"/>
    <x v="103"/>
    <x v="48"/>
    <x v="102"/>
    <x v="0"/>
  </r>
  <r>
    <x v="0"/>
    <x v="6"/>
    <x v="6"/>
    <x v="6"/>
    <x v="6"/>
    <x v="6"/>
    <x v="3"/>
    <x v="99"/>
    <x v="88"/>
    <x v="83"/>
    <x v="104"/>
    <x v="87"/>
    <x v="103"/>
    <x v="0"/>
  </r>
  <r>
    <x v="0"/>
    <x v="6"/>
    <x v="6"/>
    <x v="3"/>
    <x v="3"/>
    <x v="3"/>
    <x v="4"/>
    <x v="90"/>
    <x v="89"/>
    <x v="74"/>
    <x v="82"/>
    <x v="21"/>
    <x v="104"/>
    <x v="0"/>
  </r>
  <r>
    <x v="0"/>
    <x v="6"/>
    <x v="6"/>
    <x v="11"/>
    <x v="11"/>
    <x v="11"/>
    <x v="5"/>
    <x v="100"/>
    <x v="90"/>
    <x v="92"/>
    <x v="105"/>
    <x v="66"/>
    <x v="56"/>
    <x v="3"/>
  </r>
  <r>
    <x v="0"/>
    <x v="6"/>
    <x v="6"/>
    <x v="8"/>
    <x v="8"/>
    <x v="8"/>
    <x v="6"/>
    <x v="101"/>
    <x v="68"/>
    <x v="93"/>
    <x v="106"/>
    <x v="77"/>
    <x v="105"/>
    <x v="0"/>
  </r>
  <r>
    <x v="0"/>
    <x v="6"/>
    <x v="6"/>
    <x v="14"/>
    <x v="14"/>
    <x v="14"/>
    <x v="7"/>
    <x v="73"/>
    <x v="82"/>
    <x v="88"/>
    <x v="107"/>
    <x v="81"/>
    <x v="106"/>
    <x v="0"/>
  </r>
  <r>
    <x v="0"/>
    <x v="6"/>
    <x v="6"/>
    <x v="18"/>
    <x v="18"/>
    <x v="18"/>
    <x v="8"/>
    <x v="102"/>
    <x v="91"/>
    <x v="78"/>
    <x v="108"/>
    <x v="81"/>
    <x v="106"/>
    <x v="3"/>
  </r>
  <r>
    <x v="0"/>
    <x v="6"/>
    <x v="6"/>
    <x v="12"/>
    <x v="12"/>
    <x v="12"/>
    <x v="9"/>
    <x v="103"/>
    <x v="92"/>
    <x v="61"/>
    <x v="109"/>
    <x v="76"/>
    <x v="107"/>
    <x v="0"/>
  </r>
  <r>
    <x v="0"/>
    <x v="6"/>
    <x v="6"/>
    <x v="13"/>
    <x v="13"/>
    <x v="13"/>
    <x v="10"/>
    <x v="94"/>
    <x v="93"/>
    <x v="69"/>
    <x v="110"/>
    <x v="88"/>
    <x v="108"/>
    <x v="0"/>
  </r>
  <r>
    <x v="0"/>
    <x v="6"/>
    <x v="6"/>
    <x v="17"/>
    <x v="17"/>
    <x v="17"/>
    <x v="11"/>
    <x v="77"/>
    <x v="94"/>
    <x v="80"/>
    <x v="111"/>
    <x v="71"/>
    <x v="109"/>
    <x v="0"/>
  </r>
  <r>
    <x v="0"/>
    <x v="6"/>
    <x v="6"/>
    <x v="7"/>
    <x v="7"/>
    <x v="7"/>
    <x v="12"/>
    <x v="96"/>
    <x v="95"/>
    <x v="94"/>
    <x v="112"/>
    <x v="89"/>
    <x v="41"/>
    <x v="0"/>
  </r>
  <r>
    <x v="0"/>
    <x v="6"/>
    <x v="6"/>
    <x v="16"/>
    <x v="16"/>
    <x v="16"/>
    <x v="13"/>
    <x v="104"/>
    <x v="44"/>
    <x v="86"/>
    <x v="113"/>
    <x v="74"/>
    <x v="110"/>
    <x v="0"/>
  </r>
  <r>
    <x v="0"/>
    <x v="6"/>
    <x v="6"/>
    <x v="20"/>
    <x v="20"/>
    <x v="20"/>
    <x v="13"/>
    <x v="104"/>
    <x v="44"/>
    <x v="86"/>
    <x v="113"/>
    <x v="74"/>
    <x v="110"/>
    <x v="0"/>
  </r>
  <r>
    <x v="0"/>
    <x v="6"/>
    <x v="6"/>
    <x v="27"/>
    <x v="27"/>
    <x v="27"/>
    <x v="14"/>
    <x v="78"/>
    <x v="59"/>
    <x v="88"/>
    <x v="107"/>
    <x v="90"/>
    <x v="99"/>
    <x v="0"/>
  </r>
  <r>
    <x v="0"/>
    <x v="6"/>
    <x v="6"/>
    <x v="15"/>
    <x v="15"/>
    <x v="15"/>
    <x v="14"/>
    <x v="78"/>
    <x v="59"/>
    <x v="88"/>
    <x v="107"/>
    <x v="90"/>
    <x v="99"/>
    <x v="0"/>
  </r>
  <r>
    <x v="0"/>
    <x v="6"/>
    <x v="6"/>
    <x v="10"/>
    <x v="10"/>
    <x v="10"/>
    <x v="16"/>
    <x v="105"/>
    <x v="96"/>
    <x v="50"/>
    <x v="86"/>
    <x v="55"/>
    <x v="111"/>
    <x v="0"/>
  </r>
  <r>
    <x v="0"/>
    <x v="6"/>
    <x v="6"/>
    <x v="5"/>
    <x v="5"/>
    <x v="5"/>
    <x v="16"/>
    <x v="105"/>
    <x v="96"/>
    <x v="95"/>
    <x v="10"/>
    <x v="78"/>
    <x v="112"/>
    <x v="0"/>
  </r>
  <r>
    <x v="0"/>
    <x v="6"/>
    <x v="6"/>
    <x v="9"/>
    <x v="9"/>
    <x v="9"/>
    <x v="16"/>
    <x v="105"/>
    <x v="96"/>
    <x v="96"/>
    <x v="114"/>
    <x v="53"/>
    <x v="113"/>
    <x v="0"/>
  </r>
  <r>
    <x v="0"/>
    <x v="7"/>
    <x v="7"/>
    <x v="0"/>
    <x v="0"/>
    <x v="0"/>
    <x v="0"/>
    <x v="106"/>
    <x v="97"/>
    <x v="97"/>
    <x v="115"/>
    <x v="55"/>
    <x v="41"/>
    <x v="0"/>
  </r>
  <r>
    <x v="0"/>
    <x v="7"/>
    <x v="7"/>
    <x v="1"/>
    <x v="1"/>
    <x v="1"/>
    <x v="1"/>
    <x v="107"/>
    <x v="98"/>
    <x v="98"/>
    <x v="116"/>
    <x v="83"/>
    <x v="48"/>
    <x v="0"/>
  </r>
  <r>
    <x v="0"/>
    <x v="7"/>
    <x v="7"/>
    <x v="4"/>
    <x v="4"/>
    <x v="4"/>
    <x v="2"/>
    <x v="108"/>
    <x v="99"/>
    <x v="99"/>
    <x v="117"/>
    <x v="77"/>
    <x v="114"/>
    <x v="0"/>
  </r>
  <r>
    <x v="0"/>
    <x v="7"/>
    <x v="7"/>
    <x v="2"/>
    <x v="2"/>
    <x v="2"/>
    <x v="3"/>
    <x v="109"/>
    <x v="100"/>
    <x v="100"/>
    <x v="118"/>
    <x v="53"/>
    <x v="115"/>
    <x v="0"/>
  </r>
  <r>
    <x v="0"/>
    <x v="7"/>
    <x v="7"/>
    <x v="3"/>
    <x v="3"/>
    <x v="3"/>
    <x v="4"/>
    <x v="110"/>
    <x v="20"/>
    <x v="46"/>
    <x v="119"/>
    <x v="91"/>
    <x v="116"/>
    <x v="0"/>
  </r>
  <r>
    <x v="0"/>
    <x v="7"/>
    <x v="7"/>
    <x v="9"/>
    <x v="9"/>
    <x v="9"/>
    <x v="5"/>
    <x v="111"/>
    <x v="101"/>
    <x v="101"/>
    <x v="25"/>
    <x v="92"/>
    <x v="55"/>
    <x v="0"/>
  </r>
  <r>
    <x v="0"/>
    <x v="7"/>
    <x v="7"/>
    <x v="8"/>
    <x v="8"/>
    <x v="8"/>
    <x v="6"/>
    <x v="112"/>
    <x v="102"/>
    <x v="102"/>
    <x v="120"/>
    <x v="77"/>
    <x v="114"/>
    <x v="0"/>
  </r>
  <r>
    <x v="0"/>
    <x v="7"/>
    <x v="7"/>
    <x v="6"/>
    <x v="6"/>
    <x v="6"/>
    <x v="7"/>
    <x v="113"/>
    <x v="103"/>
    <x v="103"/>
    <x v="121"/>
    <x v="69"/>
    <x v="117"/>
    <x v="0"/>
  </r>
  <r>
    <x v="0"/>
    <x v="7"/>
    <x v="7"/>
    <x v="7"/>
    <x v="7"/>
    <x v="7"/>
    <x v="8"/>
    <x v="91"/>
    <x v="11"/>
    <x v="104"/>
    <x v="122"/>
    <x v="55"/>
    <x v="41"/>
    <x v="0"/>
  </r>
  <r>
    <x v="0"/>
    <x v="7"/>
    <x v="7"/>
    <x v="11"/>
    <x v="11"/>
    <x v="11"/>
    <x v="8"/>
    <x v="91"/>
    <x v="11"/>
    <x v="92"/>
    <x v="123"/>
    <x v="66"/>
    <x v="118"/>
    <x v="0"/>
  </r>
  <r>
    <x v="0"/>
    <x v="7"/>
    <x v="7"/>
    <x v="14"/>
    <x v="14"/>
    <x v="14"/>
    <x v="10"/>
    <x v="114"/>
    <x v="104"/>
    <x v="32"/>
    <x v="124"/>
    <x v="79"/>
    <x v="119"/>
    <x v="0"/>
  </r>
  <r>
    <x v="0"/>
    <x v="7"/>
    <x v="7"/>
    <x v="16"/>
    <x v="16"/>
    <x v="16"/>
    <x v="11"/>
    <x v="115"/>
    <x v="27"/>
    <x v="105"/>
    <x v="125"/>
    <x v="41"/>
    <x v="46"/>
    <x v="0"/>
  </r>
  <r>
    <x v="0"/>
    <x v="7"/>
    <x v="7"/>
    <x v="5"/>
    <x v="5"/>
    <x v="5"/>
    <x v="12"/>
    <x v="70"/>
    <x v="93"/>
    <x v="59"/>
    <x v="126"/>
    <x v="60"/>
    <x v="120"/>
    <x v="0"/>
  </r>
  <r>
    <x v="0"/>
    <x v="7"/>
    <x v="7"/>
    <x v="10"/>
    <x v="10"/>
    <x v="10"/>
    <x v="13"/>
    <x v="72"/>
    <x v="105"/>
    <x v="106"/>
    <x v="127"/>
    <x v="59"/>
    <x v="121"/>
    <x v="0"/>
  </r>
  <r>
    <x v="0"/>
    <x v="7"/>
    <x v="7"/>
    <x v="15"/>
    <x v="15"/>
    <x v="15"/>
    <x v="19"/>
    <x v="101"/>
    <x v="106"/>
    <x v="87"/>
    <x v="128"/>
    <x v="84"/>
    <x v="15"/>
    <x v="0"/>
  </r>
  <r>
    <x v="0"/>
    <x v="7"/>
    <x v="7"/>
    <x v="12"/>
    <x v="12"/>
    <x v="12"/>
    <x v="14"/>
    <x v="116"/>
    <x v="29"/>
    <x v="84"/>
    <x v="129"/>
    <x v="92"/>
    <x v="55"/>
    <x v="0"/>
  </r>
  <r>
    <x v="0"/>
    <x v="7"/>
    <x v="7"/>
    <x v="32"/>
    <x v="32"/>
    <x v="32"/>
    <x v="15"/>
    <x v="102"/>
    <x v="14"/>
    <x v="96"/>
    <x v="130"/>
    <x v="89"/>
    <x v="23"/>
    <x v="0"/>
  </r>
  <r>
    <x v="0"/>
    <x v="7"/>
    <x v="7"/>
    <x v="13"/>
    <x v="13"/>
    <x v="13"/>
    <x v="16"/>
    <x v="93"/>
    <x v="107"/>
    <x v="107"/>
    <x v="131"/>
    <x v="60"/>
    <x v="120"/>
    <x v="0"/>
  </r>
  <r>
    <x v="0"/>
    <x v="7"/>
    <x v="7"/>
    <x v="17"/>
    <x v="17"/>
    <x v="17"/>
    <x v="17"/>
    <x v="94"/>
    <x v="108"/>
    <x v="88"/>
    <x v="99"/>
    <x v="93"/>
    <x v="122"/>
    <x v="0"/>
  </r>
  <r>
    <x v="0"/>
    <x v="7"/>
    <x v="7"/>
    <x v="33"/>
    <x v="33"/>
    <x v="33"/>
    <x v="18"/>
    <x v="77"/>
    <x v="109"/>
    <x v="88"/>
    <x v="99"/>
    <x v="88"/>
    <x v="76"/>
    <x v="0"/>
  </r>
  <r>
    <x v="0"/>
    <x v="8"/>
    <x v="8"/>
    <x v="4"/>
    <x v="4"/>
    <x v="4"/>
    <x v="0"/>
    <x v="117"/>
    <x v="110"/>
    <x v="108"/>
    <x v="132"/>
    <x v="70"/>
    <x v="55"/>
    <x v="0"/>
  </r>
  <r>
    <x v="0"/>
    <x v="8"/>
    <x v="8"/>
    <x v="0"/>
    <x v="0"/>
    <x v="0"/>
    <x v="1"/>
    <x v="114"/>
    <x v="111"/>
    <x v="109"/>
    <x v="133"/>
    <x v="94"/>
    <x v="12"/>
    <x v="0"/>
  </r>
  <r>
    <x v="0"/>
    <x v="8"/>
    <x v="8"/>
    <x v="1"/>
    <x v="1"/>
    <x v="1"/>
    <x v="2"/>
    <x v="76"/>
    <x v="112"/>
    <x v="110"/>
    <x v="134"/>
    <x v="92"/>
    <x v="122"/>
    <x v="0"/>
  </r>
  <r>
    <x v="0"/>
    <x v="8"/>
    <x v="8"/>
    <x v="2"/>
    <x v="2"/>
    <x v="2"/>
    <x v="3"/>
    <x v="77"/>
    <x v="113"/>
    <x v="111"/>
    <x v="24"/>
    <x v="53"/>
    <x v="123"/>
    <x v="0"/>
  </r>
  <r>
    <x v="0"/>
    <x v="8"/>
    <x v="8"/>
    <x v="9"/>
    <x v="9"/>
    <x v="9"/>
    <x v="4"/>
    <x v="96"/>
    <x v="114"/>
    <x v="56"/>
    <x v="135"/>
    <x v="70"/>
    <x v="55"/>
    <x v="0"/>
  </r>
  <r>
    <x v="0"/>
    <x v="8"/>
    <x v="8"/>
    <x v="5"/>
    <x v="5"/>
    <x v="5"/>
    <x v="5"/>
    <x v="78"/>
    <x v="115"/>
    <x v="107"/>
    <x v="136"/>
    <x v="82"/>
    <x v="124"/>
    <x v="0"/>
  </r>
  <r>
    <x v="0"/>
    <x v="8"/>
    <x v="8"/>
    <x v="11"/>
    <x v="11"/>
    <x v="11"/>
    <x v="6"/>
    <x v="83"/>
    <x v="55"/>
    <x v="77"/>
    <x v="137"/>
    <x v="70"/>
    <x v="55"/>
    <x v="0"/>
  </r>
  <r>
    <x v="0"/>
    <x v="8"/>
    <x v="8"/>
    <x v="8"/>
    <x v="8"/>
    <x v="8"/>
    <x v="6"/>
    <x v="83"/>
    <x v="55"/>
    <x v="52"/>
    <x v="138"/>
    <x v="53"/>
    <x v="123"/>
    <x v="0"/>
  </r>
  <r>
    <x v="0"/>
    <x v="8"/>
    <x v="8"/>
    <x v="7"/>
    <x v="7"/>
    <x v="7"/>
    <x v="8"/>
    <x v="118"/>
    <x v="116"/>
    <x v="45"/>
    <x v="139"/>
    <x v="66"/>
    <x v="125"/>
    <x v="0"/>
  </r>
  <r>
    <x v="0"/>
    <x v="8"/>
    <x v="8"/>
    <x v="10"/>
    <x v="10"/>
    <x v="10"/>
    <x v="9"/>
    <x v="119"/>
    <x v="117"/>
    <x v="50"/>
    <x v="58"/>
    <x v="48"/>
    <x v="7"/>
    <x v="0"/>
  </r>
  <r>
    <x v="0"/>
    <x v="8"/>
    <x v="8"/>
    <x v="6"/>
    <x v="6"/>
    <x v="6"/>
    <x v="10"/>
    <x v="85"/>
    <x v="118"/>
    <x v="105"/>
    <x v="140"/>
    <x v="82"/>
    <x v="124"/>
    <x v="0"/>
  </r>
  <r>
    <x v="0"/>
    <x v="8"/>
    <x v="8"/>
    <x v="16"/>
    <x v="16"/>
    <x v="16"/>
    <x v="10"/>
    <x v="85"/>
    <x v="118"/>
    <x v="78"/>
    <x v="141"/>
    <x v="50"/>
    <x v="126"/>
    <x v="0"/>
  </r>
  <r>
    <x v="0"/>
    <x v="8"/>
    <x v="8"/>
    <x v="15"/>
    <x v="15"/>
    <x v="15"/>
    <x v="10"/>
    <x v="85"/>
    <x v="118"/>
    <x v="74"/>
    <x v="19"/>
    <x v="54"/>
    <x v="127"/>
    <x v="0"/>
  </r>
  <r>
    <x v="0"/>
    <x v="8"/>
    <x v="8"/>
    <x v="3"/>
    <x v="3"/>
    <x v="3"/>
    <x v="13"/>
    <x v="87"/>
    <x v="119"/>
    <x v="55"/>
    <x v="142"/>
    <x v="59"/>
    <x v="128"/>
    <x v="0"/>
  </r>
  <r>
    <x v="0"/>
    <x v="8"/>
    <x v="8"/>
    <x v="34"/>
    <x v="34"/>
    <x v="34"/>
    <x v="13"/>
    <x v="87"/>
    <x v="119"/>
    <x v="105"/>
    <x v="140"/>
    <x v="94"/>
    <x v="12"/>
    <x v="0"/>
  </r>
  <r>
    <x v="0"/>
    <x v="8"/>
    <x v="8"/>
    <x v="14"/>
    <x v="14"/>
    <x v="14"/>
    <x v="14"/>
    <x v="120"/>
    <x v="120"/>
    <x v="86"/>
    <x v="143"/>
    <x v="77"/>
    <x v="129"/>
    <x v="0"/>
  </r>
  <r>
    <x v="0"/>
    <x v="8"/>
    <x v="8"/>
    <x v="19"/>
    <x v="19"/>
    <x v="19"/>
    <x v="14"/>
    <x v="120"/>
    <x v="120"/>
    <x v="74"/>
    <x v="19"/>
    <x v="78"/>
    <x v="69"/>
    <x v="0"/>
  </r>
  <r>
    <x v="0"/>
    <x v="8"/>
    <x v="8"/>
    <x v="35"/>
    <x v="35"/>
    <x v="35"/>
    <x v="14"/>
    <x v="120"/>
    <x v="120"/>
    <x v="80"/>
    <x v="144"/>
    <x v="60"/>
    <x v="77"/>
    <x v="0"/>
  </r>
  <r>
    <x v="0"/>
    <x v="8"/>
    <x v="8"/>
    <x v="32"/>
    <x v="32"/>
    <x v="32"/>
    <x v="17"/>
    <x v="121"/>
    <x v="121"/>
    <x v="86"/>
    <x v="143"/>
    <x v="48"/>
    <x v="7"/>
    <x v="0"/>
  </r>
  <r>
    <x v="0"/>
    <x v="8"/>
    <x v="8"/>
    <x v="20"/>
    <x v="20"/>
    <x v="20"/>
    <x v="18"/>
    <x v="122"/>
    <x v="75"/>
    <x v="67"/>
    <x v="145"/>
    <x v="48"/>
    <x v="7"/>
    <x v="0"/>
  </r>
  <r>
    <x v="0"/>
    <x v="8"/>
    <x v="8"/>
    <x v="25"/>
    <x v="25"/>
    <x v="25"/>
    <x v="18"/>
    <x v="122"/>
    <x v="75"/>
    <x v="74"/>
    <x v="19"/>
    <x v="82"/>
    <x v="124"/>
    <x v="0"/>
  </r>
  <r>
    <x v="0"/>
    <x v="8"/>
    <x v="8"/>
    <x v="26"/>
    <x v="26"/>
    <x v="26"/>
    <x v="18"/>
    <x v="122"/>
    <x v="75"/>
    <x v="74"/>
    <x v="19"/>
    <x v="82"/>
    <x v="124"/>
    <x v="0"/>
  </r>
  <r>
    <x v="0"/>
    <x v="9"/>
    <x v="9"/>
    <x v="0"/>
    <x v="0"/>
    <x v="0"/>
    <x v="0"/>
    <x v="65"/>
    <x v="122"/>
    <x v="112"/>
    <x v="146"/>
    <x v="92"/>
    <x v="130"/>
    <x v="0"/>
  </r>
  <r>
    <x v="0"/>
    <x v="9"/>
    <x v="9"/>
    <x v="2"/>
    <x v="2"/>
    <x v="2"/>
    <x v="1"/>
    <x v="77"/>
    <x v="123"/>
    <x v="111"/>
    <x v="147"/>
    <x v="53"/>
    <x v="131"/>
    <x v="0"/>
  </r>
  <r>
    <x v="0"/>
    <x v="9"/>
    <x v="9"/>
    <x v="6"/>
    <x v="6"/>
    <x v="6"/>
    <x v="2"/>
    <x v="105"/>
    <x v="124"/>
    <x v="77"/>
    <x v="148"/>
    <x v="54"/>
    <x v="132"/>
    <x v="0"/>
  </r>
  <r>
    <x v="0"/>
    <x v="9"/>
    <x v="9"/>
    <x v="8"/>
    <x v="8"/>
    <x v="8"/>
    <x v="3"/>
    <x v="123"/>
    <x v="125"/>
    <x v="37"/>
    <x v="134"/>
    <x v="70"/>
    <x v="133"/>
    <x v="0"/>
  </r>
  <r>
    <x v="0"/>
    <x v="9"/>
    <x v="9"/>
    <x v="7"/>
    <x v="7"/>
    <x v="7"/>
    <x v="4"/>
    <x v="118"/>
    <x v="101"/>
    <x v="105"/>
    <x v="149"/>
    <x v="78"/>
    <x v="134"/>
    <x v="0"/>
  </r>
  <r>
    <x v="0"/>
    <x v="9"/>
    <x v="9"/>
    <x v="17"/>
    <x v="17"/>
    <x v="17"/>
    <x v="5"/>
    <x v="119"/>
    <x v="126"/>
    <x v="55"/>
    <x v="82"/>
    <x v="55"/>
    <x v="135"/>
    <x v="0"/>
  </r>
  <r>
    <x v="0"/>
    <x v="9"/>
    <x v="9"/>
    <x v="16"/>
    <x v="16"/>
    <x v="16"/>
    <x v="6"/>
    <x v="84"/>
    <x v="127"/>
    <x v="80"/>
    <x v="150"/>
    <x v="55"/>
    <x v="135"/>
    <x v="0"/>
  </r>
  <r>
    <x v="0"/>
    <x v="9"/>
    <x v="9"/>
    <x v="12"/>
    <x v="12"/>
    <x v="12"/>
    <x v="6"/>
    <x v="84"/>
    <x v="127"/>
    <x v="62"/>
    <x v="151"/>
    <x v="70"/>
    <x v="133"/>
    <x v="0"/>
  </r>
  <r>
    <x v="0"/>
    <x v="9"/>
    <x v="9"/>
    <x v="5"/>
    <x v="5"/>
    <x v="5"/>
    <x v="8"/>
    <x v="86"/>
    <x v="128"/>
    <x v="50"/>
    <x v="152"/>
    <x v="94"/>
    <x v="136"/>
    <x v="0"/>
  </r>
  <r>
    <x v="0"/>
    <x v="9"/>
    <x v="9"/>
    <x v="13"/>
    <x v="13"/>
    <x v="13"/>
    <x v="9"/>
    <x v="87"/>
    <x v="92"/>
    <x v="78"/>
    <x v="145"/>
    <x v="60"/>
    <x v="137"/>
    <x v="0"/>
  </r>
  <r>
    <x v="0"/>
    <x v="9"/>
    <x v="9"/>
    <x v="9"/>
    <x v="9"/>
    <x v="9"/>
    <x v="9"/>
    <x v="87"/>
    <x v="92"/>
    <x v="46"/>
    <x v="153"/>
    <x v="95"/>
    <x v="138"/>
    <x v="0"/>
  </r>
  <r>
    <x v="0"/>
    <x v="9"/>
    <x v="9"/>
    <x v="11"/>
    <x v="11"/>
    <x v="11"/>
    <x v="9"/>
    <x v="87"/>
    <x v="92"/>
    <x v="113"/>
    <x v="154"/>
    <x v="80"/>
    <x v="139"/>
    <x v="0"/>
  </r>
  <r>
    <x v="0"/>
    <x v="9"/>
    <x v="9"/>
    <x v="14"/>
    <x v="14"/>
    <x v="14"/>
    <x v="12"/>
    <x v="121"/>
    <x v="129"/>
    <x v="80"/>
    <x v="150"/>
    <x v="76"/>
    <x v="140"/>
    <x v="0"/>
  </r>
  <r>
    <x v="0"/>
    <x v="9"/>
    <x v="9"/>
    <x v="19"/>
    <x v="19"/>
    <x v="19"/>
    <x v="12"/>
    <x v="121"/>
    <x v="129"/>
    <x v="68"/>
    <x v="59"/>
    <x v="92"/>
    <x v="130"/>
    <x v="0"/>
  </r>
  <r>
    <x v="0"/>
    <x v="9"/>
    <x v="9"/>
    <x v="1"/>
    <x v="1"/>
    <x v="1"/>
    <x v="12"/>
    <x v="121"/>
    <x v="129"/>
    <x v="86"/>
    <x v="155"/>
    <x v="48"/>
    <x v="13"/>
    <x v="0"/>
  </r>
  <r>
    <x v="0"/>
    <x v="9"/>
    <x v="9"/>
    <x v="3"/>
    <x v="3"/>
    <x v="3"/>
    <x v="14"/>
    <x v="122"/>
    <x v="30"/>
    <x v="80"/>
    <x v="150"/>
    <x v="66"/>
    <x v="48"/>
    <x v="0"/>
  </r>
  <r>
    <x v="0"/>
    <x v="9"/>
    <x v="9"/>
    <x v="33"/>
    <x v="33"/>
    <x v="33"/>
    <x v="14"/>
    <x v="122"/>
    <x v="30"/>
    <x v="67"/>
    <x v="156"/>
    <x v="48"/>
    <x v="13"/>
    <x v="0"/>
  </r>
  <r>
    <x v="0"/>
    <x v="9"/>
    <x v="9"/>
    <x v="20"/>
    <x v="20"/>
    <x v="20"/>
    <x v="14"/>
    <x v="122"/>
    <x v="30"/>
    <x v="68"/>
    <x v="59"/>
    <x v="77"/>
    <x v="141"/>
    <x v="0"/>
  </r>
  <r>
    <x v="0"/>
    <x v="9"/>
    <x v="9"/>
    <x v="10"/>
    <x v="10"/>
    <x v="10"/>
    <x v="17"/>
    <x v="124"/>
    <x v="63"/>
    <x v="74"/>
    <x v="124"/>
    <x v="80"/>
    <x v="139"/>
    <x v="0"/>
  </r>
  <r>
    <x v="0"/>
    <x v="9"/>
    <x v="9"/>
    <x v="36"/>
    <x v="36"/>
    <x v="36"/>
    <x v="18"/>
    <x v="125"/>
    <x v="74"/>
    <x v="68"/>
    <x v="59"/>
    <x v="82"/>
    <x v="142"/>
    <x v="0"/>
  </r>
  <r>
    <x v="0"/>
    <x v="9"/>
    <x v="9"/>
    <x v="37"/>
    <x v="37"/>
    <x v="37"/>
    <x v="18"/>
    <x v="125"/>
    <x v="74"/>
    <x v="86"/>
    <x v="155"/>
    <x v="70"/>
    <x v="133"/>
    <x v="0"/>
  </r>
  <r>
    <x v="0"/>
    <x v="10"/>
    <x v="10"/>
    <x v="1"/>
    <x v="1"/>
    <x v="1"/>
    <x v="0"/>
    <x v="74"/>
    <x v="130"/>
    <x v="114"/>
    <x v="157"/>
    <x v="48"/>
    <x v="143"/>
    <x v="0"/>
  </r>
  <r>
    <x v="0"/>
    <x v="10"/>
    <x v="10"/>
    <x v="0"/>
    <x v="0"/>
    <x v="0"/>
    <x v="1"/>
    <x v="126"/>
    <x v="131"/>
    <x v="83"/>
    <x v="158"/>
    <x v="95"/>
    <x v="144"/>
    <x v="0"/>
  </r>
  <r>
    <x v="0"/>
    <x v="10"/>
    <x v="10"/>
    <x v="4"/>
    <x v="4"/>
    <x v="4"/>
    <x v="2"/>
    <x v="97"/>
    <x v="77"/>
    <x v="107"/>
    <x v="159"/>
    <x v="53"/>
    <x v="145"/>
    <x v="0"/>
  </r>
  <r>
    <x v="0"/>
    <x v="10"/>
    <x v="10"/>
    <x v="22"/>
    <x v="22"/>
    <x v="22"/>
    <x v="3"/>
    <x v="82"/>
    <x v="132"/>
    <x v="37"/>
    <x v="160"/>
    <x v="53"/>
    <x v="145"/>
    <x v="0"/>
  </r>
  <r>
    <x v="0"/>
    <x v="10"/>
    <x v="10"/>
    <x v="2"/>
    <x v="2"/>
    <x v="2"/>
    <x v="4"/>
    <x v="127"/>
    <x v="133"/>
    <x v="77"/>
    <x v="161"/>
    <x v="53"/>
    <x v="145"/>
    <x v="0"/>
  </r>
  <r>
    <x v="0"/>
    <x v="10"/>
    <x v="10"/>
    <x v="9"/>
    <x v="9"/>
    <x v="9"/>
    <x v="5"/>
    <x v="84"/>
    <x v="50"/>
    <x v="87"/>
    <x v="136"/>
    <x v="53"/>
    <x v="145"/>
    <x v="0"/>
  </r>
  <r>
    <x v="0"/>
    <x v="10"/>
    <x v="10"/>
    <x v="3"/>
    <x v="3"/>
    <x v="3"/>
    <x v="6"/>
    <x v="87"/>
    <x v="101"/>
    <x v="68"/>
    <x v="98"/>
    <x v="76"/>
    <x v="146"/>
    <x v="0"/>
  </r>
  <r>
    <x v="0"/>
    <x v="10"/>
    <x v="10"/>
    <x v="8"/>
    <x v="8"/>
    <x v="8"/>
    <x v="6"/>
    <x v="87"/>
    <x v="101"/>
    <x v="79"/>
    <x v="162"/>
    <x v="53"/>
    <x v="145"/>
    <x v="0"/>
  </r>
  <r>
    <x v="0"/>
    <x v="10"/>
    <x v="10"/>
    <x v="5"/>
    <x v="5"/>
    <x v="5"/>
    <x v="8"/>
    <x v="120"/>
    <x v="6"/>
    <x v="50"/>
    <x v="163"/>
    <x v="95"/>
    <x v="144"/>
    <x v="0"/>
  </r>
  <r>
    <x v="0"/>
    <x v="10"/>
    <x v="10"/>
    <x v="6"/>
    <x v="6"/>
    <x v="6"/>
    <x v="9"/>
    <x v="121"/>
    <x v="134"/>
    <x v="88"/>
    <x v="164"/>
    <x v="80"/>
    <x v="147"/>
    <x v="0"/>
  </r>
  <r>
    <x v="0"/>
    <x v="10"/>
    <x v="10"/>
    <x v="12"/>
    <x v="12"/>
    <x v="12"/>
    <x v="9"/>
    <x v="121"/>
    <x v="134"/>
    <x v="45"/>
    <x v="31"/>
    <x v="70"/>
    <x v="148"/>
    <x v="0"/>
  </r>
  <r>
    <x v="0"/>
    <x v="10"/>
    <x v="10"/>
    <x v="7"/>
    <x v="7"/>
    <x v="7"/>
    <x v="11"/>
    <x v="122"/>
    <x v="41"/>
    <x v="80"/>
    <x v="165"/>
    <x v="92"/>
    <x v="149"/>
    <x v="3"/>
  </r>
  <r>
    <x v="0"/>
    <x v="10"/>
    <x v="10"/>
    <x v="32"/>
    <x v="32"/>
    <x v="32"/>
    <x v="12"/>
    <x v="124"/>
    <x v="135"/>
    <x v="86"/>
    <x v="166"/>
    <x v="94"/>
    <x v="39"/>
    <x v="0"/>
  </r>
  <r>
    <x v="0"/>
    <x v="10"/>
    <x v="10"/>
    <x v="10"/>
    <x v="10"/>
    <x v="10"/>
    <x v="13"/>
    <x v="125"/>
    <x v="136"/>
    <x v="86"/>
    <x v="166"/>
    <x v="70"/>
    <x v="148"/>
    <x v="0"/>
  </r>
  <r>
    <x v="0"/>
    <x v="10"/>
    <x v="10"/>
    <x v="31"/>
    <x v="31"/>
    <x v="31"/>
    <x v="19"/>
    <x v="128"/>
    <x v="60"/>
    <x v="74"/>
    <x v="167"/>
    <x v="70"/>
    <x v="148"/>
    <x v="0"/>
  </r>
  <r>
    <x v="0"/>
    <x v="10"/>
    <x v="10"/>
    <x v="14"/>
    <x v="14"/>
    <x v="14"/>
    <x v="14"/>
    <x v="129"/>
    <x v="107"/>
    <x v="115"/>
    <x v="65"/>
    <x v="77"/>
    <x v="150"/>
    <x v="0"/>
  </r>
  <r>
    <x v="0"/>
    <x v="10"/>
    <x v="10"/>
    <x v="38"/>
    <x v="38"/>
    <x v="38"/>
    <x v="14"/>
    <x v="129"/>
    <x v="107"/>
    <x v="74"/>
    <x v="167"/>
    <x v="53"/>
    <x v="145"/>
    <x v="0"/>
  </r>
  <r>
    <x v="0"/>
    <x v="10"/>
    <x v="10"/>
    <x v="25"/>
    <x v="25"/>
    <x v="25"/>
    <x v="14"/>
    <x v="129"/>
    <x v="107"/>
    <x v="67"/>
    <x v="168"/>
    <x v="70"/>
    <x v="148"/>
    <x v="0"/>
  </r>
  <r>
    <x v="0"/>
    <x v="10"/>
    <x v="10"/>
    <x v="11"/>
    <x v="11"/>
    <x v="11"/>
    <x v="14"/>
    <x v="129"/>
    <x v="107"/>
    <x v="74"/>
    <x v="167"/>
    <x v="53"/>
    <x v="145"/>
    <x v="0"/>
  </r>
  <r>
    <x v="0"/>
    <x v="10"/>
    <x v="10"/>
    <x v="39"/>
    <x v="39"/>
    <x v="39"/>
    <x v="18"/>
    <x v="130"/>
    <x v="75"/>
    <x v="74"/>
    <x v="167"/>
    <x v="95"/>
    <x v="144"/>
    <x v="0"/>
  </r>
  <r>
    <x v="0"/>
    <x v="10"/>
    <x v="10"/>
    <x v="33"/>
    <x v="33"/>
    <x v="33"/>
    <x v="18"/>
    <x v="130"/>
    <x v="75"/>
    <x v="72"/>
    <x v="169"/>
    <x v="77"/>
    <x v="150"/>
    <x v="0"/>
  </r>
  <r>
    <x v="0"/>
    <x v="10"/>
    <x v="10"/>
    <x v="18"/>
    <x v="18"/>
    <x v="18"/>
    <x v="18"/>
    <x v="130"/>
    <x v="75"/>
    <x v="80"/>
    <x v="165"/>
    <x v="82"/>
    <x v="68"/>
    <x v="0"/>
  </r>
  <r>
    <x v="0"/>
    <x v="10"/>
    <x v="10"/>
    <x v="34"/>
    <x v="34"/>
    <x v="34"/>
    <x v="18"/>
    <x v="130"/>
    <x v="75"/>
    <x v="74"/>
    <x v="167"/>
    <x v="95"/>
    <x v="144"/>
    <x v="0"/>
  </r>
  <r>
    <x v="0"/>
    <x v="11"/>
    <x v="11"/>
    <x v="0"/>
    <x v="0"/>
    <x v="0"/>
    <x v="0"/>
    <x v="131"/>
    <x v="137"/>
    <x v="116"/>
    <x v="170"/>
    <x v="82"/>
    <x v="121"/>
    <x v="0"/>
  </r>
  <r>
    <x v="0"/>
    <x v="11"/>
    <x v="11"/>
    <x v="2"/>
    <x v="2"/>
    <x v="2"/>
    <x v="1"/>
    <x v="73"/>
    <x v="138"/>
    <x v="38"/>
    <x v="171"/>
    <x v="80"/>
    <x v="151"/>
    <x v="0"/>
  </r>
  <r>
    <x v="0"/>
    <x v="11"/>
    <x v="11"/>
    <x v="3"/>
    <x v="3"/>
    <x v="3"/>
    <x v="2"/>
    <x v="93"/>
    <x v="139"/>
    <x v="78"/>
    <x v="172"/>
    <x v="71"/>
    <x v="152"/>
    <x v="0"/>
  </r>
  <r>
    <x v="0"/>
    <x v="11"/>
    <x v="11"/>
    <x v="6"/>
    <x v="6"/>
    <x v="6"/>
    <x v="2"/>
    <x v="93"/>
    <x v="139"/>
    <x v="32"/>
    <x v="173"/>
    <x v="50"/>
    <x v="127"/>
    <x v="0"/>
  </r>
  <r>
    <x v="0"/>
    <x v="11"/>
    <x v="11"/>
    <x v="1"/>
    <x v="1"/>
    <x v="1"/>
    <x v="4"/>
    <x v="95"/>
    <x v="140"/>
    <x v="77"/>
    <x v="174"/>
    <x v="55"/>
    <x v="153"/>
    <x v="0"/>
  </r>
  <r>
    <x v="0"/>
    <x v="11"/>
    <x v="11"/>
    <x v="9"/>
    <x v="9"/>
    <x v="9"/>
    <x v="5"/>
    <x v="96"/>
    <x v="125"/>
    <x v="82"/>
    <x v="175"/>
    <x v="95"/>
    <x v="154"/>
    <x v="0"/>
  </r>
  <r>
    <x v="0"/>
    <x v="11"/>
    <x v="11"/>
    <x v="12"/>
    <x v="12"/>
    <x v="12"/>
    <x v="6"/>
    <x v="104"/>
    <x v="141"/>
    <x v="73"/>
    <x v="176"/>
    <x v="82"/>
    <x v="121"/>
    <x v="0"/>
  </r>
  <r>
    <x v="0"/>
    <x v="11"/>
    <x v="11"/>
    <x v="13"/>
    <x v="13"/>
    <x v="13"/>
    <x v="7"/>
    <x v="79"/>
    <x v="4"/>
    <x v="46"/>
    <x v="177"/>
    <x v="50"/>
    <x v="127"/>
    <x v="0"/>
  </r>
  <r>
    <x v="0"/>
    <x v="11"/>
    <x v="11"/>
    <x v="7"/>
    <x v="7"/>
    <x v="7"/>
    <x v="7"/>
    <x v="79"/>
    <x v="4"/>
    <x v="32"/>
    <x v="173"/>
    <x v="80"/>
    <x v="151"/>
    <x v="0"/>
  </r>
  <r>
    <x v="0"/>
    <x v="11"/>
    <x v="11"/>
    <x v="5"/>
    <x v="5"/>
    <x v="5"/>
    <x v="9"/>
    <x v="80"/>
    <x v="82"/>
    <x v="52"/>
    <x v="178"/>
    <x v="48"/>
    <x v="155"/>
    <x v="0"/>
  </r>
  <r>
    <x v="0"/>
    <x v="11"/>
    <x v="11"/>
    <x v="4"/>
    <x v="4"/>
    <x v="4"/>
    <x v="10"/>
    <x v="132"/>
    <x v="55"/>
    <x v="26"/>
    <x v="47"/>
    <x v="53"/>
    <x v="2"/>
    <x v="0"/>
  </r>
  <r>
    <x v="0"/>
    <x v="11"/>
    <x v="11"/>
    <x v="33"/>
    <x v="33"/>
    <x v="33"/>
    <x v="11"/>
    <x v="82"/>
    <x v="56"/>
    <x v="88"/>
    <x v="179"/>
    <x v="50"/>
    <x v="127"/>
    <x v="0"/>
  </r>
  <r>
    <x v="0"/>
    <x v="11"/>
    <x v="11"/>
    <x v="16"/>
    <x v="16"/>
    <x v="16"/>
    <x v="12"/>
    <x v="127"/>
    <x v="42"/>
    <x v="67"/>
    <x v="76"/>
    <x v="89"/>
    <x v="156"/>
    <x v="0"/>
  </r>
  <r>
    <x v="0"/>
    <x v="11"/>
    <x v="11"/>
    <x v="10"/>
    <x v="10"/>
    <x v="10"/>
    <x v="13"/>
    <x v="118"/>
    <x v="57"/>
    <x v="87"/>
    <x v="180"/>
    <x v="94"/>
    <x v="55"/>
    <x v="0"/>
  </r>
  <r>
    <x v="0"/>
    <x v="11"/>
    <x v="11"/>
    <x v="19"/>
    <x v="19"/>
    <x v="19"/>
    <x v="19"/>
    <x v="84"/>
    <x v="119"/>
    <x v="50"/>
    <x v="112"/>
    <x v="82"/>
    <x v="121"/>
    <x v="0"/>
  </r>
  <r>
    <x v="0"/>
    <x v="11"/>
    <x v="11"/>
    <x v="14"/>
    <x v="14"/>
    <x v="14"/>
    <x v="14"/>
    <x v="85"/>
    <x v="44"/>
    <x v="55"/>
    <x v="181"/>
    <x v="96"/>
    <x v="109"/>
    <x v="0"/>
  </r>
  <r>
    <x v="0"/>
    <x v="11"/>
    <x v="11"/>
    <x v="32"/>
    <x v="32"/>
    <x v="32"/>
    <x v="14"/>
    <x v="85"/>
    <x v="44"/>
    <x v="70"/>
    <x v="182"/>
    <x v="66"/>
    <x v="157"/>
    <x v="0"/>
  </r>
  <r>
    <x v="0"/>
    <x v="11"/>
    <x v="11"/>
    <x v="15"/>
    <x v="15"/>
    <x v="15"/>
    <x v="16"/>
    <x v="87"/>
    <x v="142"/>
    <x v="80"/>
    <x v="26"/>
    <x v="59"/>
    <x v="94"/>
    <x v="0"/>
  </r>
  <r>
    <x v="0"/>
    <x v="11"/>
    <x v="11"/>
    <x v="8"/>
    <x v="8"/>
    <x v="8"/>
    <x v="16"/>
    <x v="87"/>
    <x v="142"/>
    <x v="46"/>
    <x v="177"/>
    <x v="95"/>
    <x v="154"/>
    <x v="0"/>
  </r>
  <r>
    <x v="0"/>
    <x v="11"/>
    <x v="11"/>
    <x v="17"/>
    <x v="17"/>
    <x v="17"/>
    <x v="18"/>
    <x v="121"/>
    <x v="143"/>
    <x v="55"/>
    <x v="181"/>
    <x v="54"/>
    <x v="69"/>
    <x v="0"/>
  </r>
  <r>
    <x v="0"/>
    <x v="11"/>
    <x v="11"/>
    <x v="29"/>
    <x v="29"/>
    <x v="29"/>
    <x v="18"/>
    <x v="121"/>
    <x v="143"/>
    <x v="68"/>
    <x v="183"/>
    <x v="92"/>
    <x v="158"/>
    <x v="0"/>
  </r>
  <r>
    <x v="0"/>
    <x v="12"/>
    <x v="12"/>
    <x v="0"/>
    <x v="0"/>
    <x v="0"/>
    <x v="0"/>
    <x v="98"/>
    <x v="144"/>
    <x v="112"/>
    <x v="184"/>
    <x v="80"/>
    <x v="159"/>
    <x v="0"/>
  </r>
  <r>
    <x v="0"/>
    <x v="12"/>
    <x v="12"/>
    <x v="4"/>
    <x v="4"/>
    <x v="4"/>
    <x v="1"/>
    <x v="90"/>
    <x v="145"/>
    <x v="75"/>
    <x v="185"/>
    <x v="95"/>
    <x v="160"/>
    <x v="0"/>
  </r>
  <r>
    <x v="0"/>
    <x v="12"/>
    <x v="12"/>
    <x v="2"/>
    <x v="2"/>
    <x v="2"/>
    <x v="2"/>
    <x v="133"/>
    <x v="146"/>
    <x v="114"/>
    <x v="186"/>
    <x v="53"/>
    <x v="161"/>
    <x v="0"/>
  </r>
  <r>
    <x v="0"/>
    <x v="12"/>
    <x v="12"/>
    <x v="3"/>
    <x v="3"/>
    <x v="3"/>
    <x v="3"/>
    <x v="103"/>
    <x v="147"/>
    <x v="67"/>
    <x v="34"/>
    <x v="97"/>
    <x v="162"/>
    <x v="0"/>
  </r>
  <r>
    <x v="0"/>
    <x v="12"/>
    <x v="12"/>
    <x v="12"/>
    <x v="12"/>
    <x v="12"/>
    <x v="4"/>
    <x v="134"/>
    <x v="148"/>
    <x v="61"/>
    <x v="187"/>
    <x v="80"/>
    <x v="159"/>
    <x v="0"/>
  </r>
  <r>
    <x v="0"/>
    <x v="12"/>
    <x v="12"/>
    <x v="6"/>
    <x v="6"/>
    <x v="6"/>
    <x v="5"/>
    <x v="104"/>
    <x v="149"/>
    <x v="95"/>
    <x v="138"/>
    <x v="54"/>
    <x v="163"/>
    <x v="0"/>
  </r>
  <r>
    <x v="0"/>
    <x v="12"/>
    <x v="12"/>
    <x v="8"/>
    <x v="8"/>
    <x v="8"/>
    <x v="6"/>
    <x v="105"/>
    <x v="51"/>
    <x v="85"/>
    <x v="188"/>
    <x v="95"/>
    <x v="160"/>
    <x v="0"/>
  </r>
  <r>
    <x v="0"/>
    <x v="12"/>
    <x v="12"/>
    <x v="5"/>
    <x v="5"/>
    <x v="5"/>
    <x v="7"/>
    <x v="79"/>
    <x v="20"/>
    <x v="117"/>
    <x v="88"/>
    <x v="94"/>
    <x v="164"/>
    <x v="0"/>
  </r>
  <r>
    <x v="0"/>
    <x v="12"/>
    <x v="12"/>
    <x v="9"/>
    <x v="9"/>
    <x v="9"/>
    <x v="7"/>
    <x v="79"/>
    <x v="20"/>
    <x v="96"/>
    <x v="176"/>
    <x v="95"/>
    <x v="160"/>
    <x v="0"/>
  </r>
  <r>
    <x v="0"/>
    <x v="12"/>
    <x v="12"/>
    <x v="31"/>
    <x v="31"/>
    <x v="31"/>
    <x v="9"/>
    <x v="132"/>
    <x v="53"/>
    <x v="94"/>
    <x v="189"/>
    <x v="77"/>
    <x v="6"/>
    <x v="0"/>
  </r>
  <r>
    <x v="0"/>
    <x v="12"/>
    <x v="12"/>
    <x v="10"/>
    <x v="10"/>
    <x v="10"/>
    <x v="10"/>
    <x v="83"/>
    <x v="150"/>
    <x v="118"/>
    <x v="190"/>
    <x v="80"/>
    <x v="159"/>
    <x v="0"/>
  </r>
  <r>
    <x v="0"/>
    <x v="12"/>
    <x v="12"/>
    <x v="7"/>
    <x v="7"/>
    <x v="7"/>
    <x v="11"/>
    <x v="118"/>
    <x v="104"/>
    <x v="50"/>
    <x v="191"/>
    <x v="77"/>
    <x v="6"/>
    <x v="0"/>
  </r>
  <r>
    <x v="0"/>
    <x v="12"/>
    <x v="12"/>
    <x v="19"/>
    <x v="19"/>
    <x v="19"/>
    <x v="12"/>
    <x v="86"/>
    <x v="151"/>
    <x v="69"/>
    <x v="86"/>
    <x v="77"/>
    <x v="6"/>
    <x v="0"/>
  </r>
  <r>
    <x v="0"/>
    <x v="12"/>
    <x v="12"/>
    <x v="16"/>
    <x v="16"/>
    <x v="16"/>
    <x v="13"/>
    <x v="87"/>
    <x v="15"/>
    <x v="78"/>
    <x v="17"/>
    <x v="60"/>
    <x v="165"/>
    <x v="0"/>
  </r>
  <r>
    <x v="0"/>
    <x v="12"/>
    <x v="12"/>
    <x v="17"/>
    <x v="17"/>
    <x v="17"/>
    <x v="19"/>
    <x v="120"/>
    <x v="152"/>
    <x v="115"/>
    <x v="18"/>
    <x v="59"/>
    <x v="137"/>
    <x v="0"/>
  </r>
  <r>
    <x v="0"/>
    <x v="12"/>
    <x v="12"/>
    <x v="13"/>
    <x v="13"/>
    <x v="13"/>
    <x v="19"/>
    <x v="120"/>
    <x v="152"/>
    <x v="68"/>
    <x v="192"/>
    <x v="66"/>
    <x v="18"/>
    <x v="0"/>
  </r>
  <r>
    <x v="0"/>
    <x v="12"/>
    <x v="12"/>
    <x v="33"/>
    <x v="33"/>
    <x v="33"/>
    <x v="19"/>
    <x v="120"/>
    <x v="152"/>
    <x v="68"/>
    <x v="192"/>
    <x v="66"/>
    <x v="18"/>
    <x v="0"/>
  </r>
  <r>
    <x v="0"/>
    <x v="12"/>
    <x v="12"/>
    <x v="34"/>
    <x v="34"/>
    <x v="34"/>
    <x v="19"/>
    <x v="120"/>
    <x v="152"/>
    <x v="105"/>
    <x v="193"/>
    <x v="53"/>
    <x v="161"/>
    <x v="0"/>
  </r>
  <r>
    <x v="0"/>
    <x v="12"/>
    <x v="12"/>
    <x v="24"/>
    <x v="24"/>
    <x v="24"/>
    <x v="19"/>
    <x v="120"/>
    <x v="152"/>
    <x v="113"/>
    <x v="194"/>
    <x v="70"/>
    <x v="166"/>
    <x v="0"/>
  </r>
  <r>
    <x v="0"/>
    <x v="12"/>
    <x v="12"/>
    <x v="14"/>
    <x v="14"/>
    <x v="14"/>
    <x v="18"/>
    <x v="121"/>
    <x v="74"/>
    <x v="74"/>
    <x v="195"/>
    <x v="77"/>
    <x v="6"/>
    <x v="0"/>
  </r>
  <r>
    <x v="0"/>
    <x v="12"/>
    <x v="12"/>
    <x v="32"/>
    <x v="32"/>
    <x v="32"/>
    <x v="18"/>
    <x v="121"/>
    <x v="74"/>
    <x v="45"/>
    <x v="56"/>
    <x v="70"/>
    <x v="166"/>
    <x v="0"/>
  </r>
  <r>
    <x v="0"/>
    <x v="13"/>
    <x v="13"/>
    <x v="0"/>
    <x v="0"/>
    <x v="0"/>
    <x v="0"/>
    <x v="73"/>
    <x v="153"/>
    <x v="54"/>
    <x v="196"/>
    <x v="94"/>
    <x v="56"/>
    <x v="0"/>
  </r>
  <r>
    <x v="0"/>
    <x v="13"/>
    <x v="13"/>
    <x v="4"/>
    <x v="4"/>
    <x v="4"/>
    <x v="1"/>
    <x v="135"/>
    <x v="154"/>
    <x v="119"/>
    <x v="197"/>
    <x v="70"/>
    <x v="167"/>
    <x v="0"/>
  </r>
  <r>
    <x v="0"/>
    <x v="13"/>
    <x v="13"/>
    <x v="2"/>
    <x v="2"/>
    <x v="2"/>
    <x v="2"/>
    <x v="134"/>
    <x v="99"/>
    <x v="111"/>
    <x v="198"/>
    <x v="98"/>
    <x v="168"/>
    <x v="0"/>
  </r>
  <r>
    <x v="0"/>
    <x v="13"/>
    <x v="13"/>
    <x v="3"/>
    <x v="3"/>
    <x v="3"/>
    <x v="3"/>
    <x v="96"/>
    <x v="155"/>
    <x v="78"/>
    <x v="30"/>
    <x v="79"/>
    <x v="169"/>
    <x v="0"/>
  </r>
  <r>
    <x v="0"/>
    <x v="13"/>
    <x v="13"/>
    <x v="7"/>
    <x v="7"/>
    <x v="7"/>
    <x v="4"/>
    <x v="136"/>
    <x v="67"/>
    <x v="37"/>
    <x v="199"/>
    <x v="82"/>
    <x v="170"/>
    <x v="3"/>
  </r>
  <r>
    <x v="0"/>
    <x v="13"/>
    <x v="13"/>
    <x v="6"/>
    <x v="6"/>
    <x v="6"/>
    <x v="4"/>
    <x v="136"/>
    <x v="67"/>
    <x v="46"/>
    <x v="200"/>
    <x v="60"/>
    <x v="171"/>
    <x v="0"/>
  </r>
  <r>
    <x v="0"/>
    <x v="13"/>
    <x v="13"/>
    <x v="13"/>
    <x v="13"/>
    <x v="13"/>
    <x v="6"/>
    <x v="132"/>
    <x v="156"/>
    <x v="69"/>
    <x v="201"/>
    <x v="89"/>
    <x v="172"/>
    <x v="0"/>
  </r>
  <r>
    <x v="0"/>
    <x v="13"/>
    <x v="13"/>
    <x v="9"/>
    <x v="9"/>
    <x v="9"/>
    <x v="7"/>
    <x v="81"/>
    <x v="157"/>
    <x v="76"/>
    <x v="202"/>
    <x v="53"/>
    <x v="93"/>
    <x v="0"/>
  </r>
  <r>
    <x v="0"/>
    <x v="13"/>
    <x v="13"/>
    <x v="5"/>
    <x v="5"/>
    <x v="5"/>
    <x v="8"/>
    <x v="83"/>
    <x v="53"/>
    <x v="52"/>
    <x v="203"/>
    <x v="53"/>
    <x v="93"/>
    <x v="0"/>
  </r>
  <r>
    <x v="0"/>
    <x v="13"/>
    <x v="13"/>
    <x v="12"/>
    <x v="12"/>
    <x v="12"/>
    <x v="9"/>
    <x v="127"/>
    <x v="158"/>
    <x v="87"/>
    <x v="204"/>
    <x v="80"/>
    <x v="21"/>
    <x v="0"/>
  </r>
  <r>
    <x v="0"/>
    <x v="13"/>
    <x v="13"/>
    <x v="8"/>
    <x v="8"/>
    <x v="8"/>
    <x v="10"/>
    <x v="84"/>
    <x v="92"/>
    <x v="94"/>
    <x v="205"/>
    <x v="98"/>
    <x v="168"/>
    <x v="0"/>
  </r>
  <r>
    <x v="0"/>
    <x v="13"/>
    <x v="13"/>
    <x v="11"/>
    <x v="11"/>
    <x v="11"/>
    <x v="11"/>
    <x v="85"/>
    <x v="26"/>
    <x v="79"/>
    <x v="206"/>
    <x v="94"/>
    <x v="56"/>
    <x v="0"/>
  </r>
  <r>
    <x v="0"/>
    <x v="13"/>
    <x v="13"/>
    <x v="17"/>
    <x v="17"/>
    <x v="17"/>
    <x v="12"/>
    <x v="86"/>
    <x v="12"/>
    <x v="68"/>
    <x v="195"/>
    <x v="60"/>
    <x v="171"/>
    <x v="0"/>
  </r>
  <r>
    <x v="0"/>
    <x v="13"/>
    <x v="13"/>
    <x v="1"/>
    <x v="1"/>
    <x v="1"/>
    <x v="12"/>
    <x v="86"/>
    <x v="12"/>
    <x v="86"/>
    <x v="207"/>
    <x v="66"/>
    <x v="76"/>
    <x v="0"/>
  </r>
  <r>
    <x v="0"/>
    <x v="13"/>
    <x v="13"/>
    <x v="14"/>
    <x v="14"/>
    <x v="14"/>
    <x v="19"/>
    <x v="120"/>
    <x v="58"/>
    <x v="68"/>
    <x v="195"/>
    <x v="66"/>
    <x v="76"/>
    <x v="0"/>
  </r>
  <r>
    <x v="0"/>
    <x v="13"/>
    <x v="13"/>
    <x v="31"/>
    <x v="31"/>
    <x v="31"/>
    <x v="14"/>
    <x v="121"/>
    <x v="31"/>
    <x v="69"/>
    <x v="201"/>
    <x v="94"/>
    <x v="56"/>
    <x v="0"/>
  </r>
  <r>
    <x v="0"/>
    <x v="13"/>
    <x v="13"/>
    <x v="32"/>
    <x v="32"/>
    <x v="32"/>
    <x v="15"/>
    <x v="137"/>
    <x v="121"/>
    <x v="74"/>
    <x v="156"/>
    <x v="48"/>
    <x v="173"/>
    <x v="0"/>
  </r>
  <r>
    <x v="0"/>
    <x v="13"/>
    <x v="13"/>
    <x v="16"/>
    <x v="16"/>
    <x v="16"/>
    <x v="15"/>
    <x v="137"/>
    <x v="121"/>
    <x v="80"/>
    <x v="208"/>
    <x v="54"/>
    <x v="119"/>
    <x v="0"/>
  </r>
  <r>
    <x v="0"/>
    <x v="13"/>
    <x v="13"/>
    <x v="40"/>
    <x v="40"/>
    <x v="40"/>
    <x v="17"/>
    <x v="122"/>
    <x v="109"/>
    <x v="67"/>
    <x v="209"/>
    <x v="48"/>
    <x v="173"/>
    <x v="0"/>
  </r>
  <r>
    <x v="0"/>
    <x v="13"/>
    <x v="13"/>
    <x v="33"/>
    <x v="33"/>
    <x v="33"/>
    <x v="17"/>
    <x v="122"/>
    <x v="109"/>
    <x v="55"/>
    <x v="210"/>
    <x v="92"/>
    <x v="174"/>
    <x v="0"/>
  </r>
  <r>
    <x v="0"/>
    <x v="13"/>
    <x v="13"/>
    <x v="34"/>
    <x v="34"/>
    <x v="34"/>
    <x v="17"/>
    <x v="122"/>
    <x v="109"/>
    <x v="74"/>
    <x v="156"/>
    <x v="82"/>
    <x v="170"/>
    <x v="0"/>
  </r>
  <r>
    <x v="0"/>
    <x v="13"/>
    <x v="13"/>
    <x v="41"/>
    <x v="41"/>
    <x v="41"/>
    <x v="17"/>
    <x v="122"/>
    <x v="109"/>
    <x v="120"/>
    <x v="211"/>
    <x v="60"/>
    <x v="171"/>
    <x v="0"/>
  </r>
  <r>
    <x v="0"/>
    <x v="14"/>
    <x v="14"/>
    <x v="0"/>
    <x v="0"/>
    <x v="0"/>
    <x v="0"/>
    <x v="103"/>
    <x v="159"/>
    <x v="121"/>
    <x v="212"/>
    <x v="48"/>
    <x v="147"/>
    <x v="0"/>
  </r>
  <r>
    <x v="0"/>
    <x v="14"/>
    <x v="14"/>
    <x v="2"/>
    <x v="2"/>
    <x v="2"/>
    <x v="1"/>
    <x v="80"/>
    <x v="160"/>
    <x v="32"/>
    <x v="213"/>
    <x v="53"/>
    <x v="54"/>
    <x v="0"/>
  </r>
  <r>
    <x v="0"/>
    <x v="14"/>
    <x v="14"/>
    <x v="3"/>
    <x v="3"/>
    <x v="3"/>
    <x v="2"/>
    <x v="127"/>
    <x v="161"/>
    <x v="115"/>
    <x v="208"/>
    <x v="99"/>
    <x v="175"/>
    <x v="0"/>
  </r>
  <r>
    <x v="0"/>
    <x v="14"/>
    <x v="14"/>
    <x v="7"/>
    <x v="7"/>
    <x v="7"/>
    <x v="3"/>
    <x v="86"/>
    <x v="162"/>
    <x v="113"/>
    <x v="78"/>
    <x v="82"/>
    <x v="176"/>
    <x v="0"/>
  </r>
  <r>
    <x v="0"/>
    <x v="14"/>
    <x v="14"/>
    <x v="8"/>
    <x v="8"/>
    <x v="8"/>
    <x v="3"/>
    <x v="86"/>
    <x v="162"/>
    <x v="62"/>
    <x v="214"/>
    <x v="95"/>
    <x v="177"/>
    <x v="0"/>
  </r>
  <r>
    <x v="0"/>
    <x v="14"/>
    <x v="14"/>
    <x v="17"/>
    <x v="17"/>
    <x v="17"/>
    <x v="5"/>
    <x v="138"/>
    <x v="82"/>
    <x v="55"/>
    <x v="215"/>
    <x v="60"/>
    <x v="172"/>
    <x v="0"/>
  </r>
  <r>
    <x v="0"/>
    <x v="14"/>
    <x v="14"/>
    <x v="9"/>
    <x v="9"/>
    <x v="9"/>
    <x v="5"/>
    <x v="138"/>
    <x v="82"/>
    <x v="46"/>
    <x v="216"/>
    <x v="98"/>
    <x v="168"/>
    <x v="0"/>
  </r>
  <r>
    <x v="0"/>
    <x v="14"/>
    <x v="14"/>
    <x v="14"/>
    <x v="14"/>
    <x v="14"/>
    <x v="7"/>
    <x v="121"/>
    <x v="163"/>
    <x v="74"/>
    <x v="217"/>
    <x v="77"/>
    <x v="178"/>
    <x v="0"/>
  </r>
  <r>
    <x v="0"/>
    <x v="14"/>
    <x v="14"/>
    <x v="6"/>
    <x v="6"/>
    <x v="6"/>
    <x v="7"/>
    <x v="121"/>
    <x v="163"/>
    <x v="86"/>
    <x v="218"/>
    <x v="48"/>
    <x v="147"/>
    <x v="0"/>
  </r>
  <r>
    <x v="0"/>
    <x v="14"/>
    <x v="14"/>
    <x v="11"/>
    <x v="11"/>
    <x v="11"/>
    <x v="9"/>
    <x v="137"/>
    <x v="26"/>
    <x v="45"/>
    <x v="219"/>
    <x v="53"/>
    <x v="54"/>
    <x v="0"/>
  </r>
  <r>
    <x v="0"/>
    <x v="14"/>
    <x v="14"/>
    <x v="5"/>
    <x v="5"/>
    <x v="5"/>
    <x v="10"/>
    <x v="122"/>
    <x v="83"/>
    <x v="69"/>
    <x v="174"/>
    <x v="53"/>
    <x v="54"/>
    <x v="0"/>
  </r>
  <r>
    <x v="0"/>
    <x v="14"/>
    <x v="14"/>
    <x v="27"/>
    <x v="27"/>
    <x v="27"/>
    <x v="11"/>
    <x v="124"/>
    <x v="164"/>
    <x v="55"/>
    <x v="215"/>
    <x v="78"/>
    <x v="179"/>
    <x v="0"/>
  </r>
  <r>
    <x v="0"/>
    <x v="14"/>
    <x v="14"/>
    <x v="31"/>
    <x v="31"/>
    <x v="31"/>
    <x v="11"/>
    <x v="124"/>
    <x v="164"/>
    <x v="78"/>
    <x v="220"/>
    <x v="77"/>
    <x v="178"/>
    <x v="0"/>
  </r>
  <r>
    <x v="0"/>
    <x v="14"/>
    <x v="14"/>
    <x v="33"/>
    <x v="33"/>
    <x v="33"/>
    <x v="11"/>
    <x v="124"/>
    <x v="164"/>
    <x v="55"/>
    <x v="215"/>
    <x v="78"/>
    <x v="179"/>
    <x v="0"/>
  </r>
  <r>
    <x v="0"/>
    <x v="14"/>
    <x v="14"/>
    <x v="1"/>
    <x v="1"/>
    <x v="1"/>
    <x v="11"/>
    <x v="124"/>
    <x v="164"/>
    <x v="67"/>
    <x v="221"/>
    <x v="82"/>
    <x v="176"/>
    <x v="0"/>
  </r>
  <r>
    <x v="0"/>
    <x v="14"/>
    <x v="14"/>
    <x v="15"/>
    <x v="15"/>
    <x v="15"/>
    <x v="11"/>
    <x v="124"/>
    <x v="164"/>
    <x v="78"/>
    <x v="220"/>
    <x v="77"/>
    <x v="178"/>
    <x v="0"/>
  </r>
  <r>
    <x v="0"/>
    <x v="14"/>
    <x v="14"/>
    <x v="12"/>
    <x v="12"/>
    <x v="12"/>
    <x v="11"/>
    <x v="124"/>
    <x v="164"/>
    <x v="88"/>
    <x v="31"/>
    <x v="53"/>
    <x v="54"/>
    <x v="0"/>
  </r>
  <r>
    <x v="0"/>
    <x v="14"/>
    <x v="14"/>
    <x v="28"/>
    <x v="28"/>
    <x v="28"/>
    <x v="16"/>
    <x v="125"/>
    <x v="165"/>
    <x v="55"/>
    <x v="215"/>
    <x v="77"/>
    <x v="178"/>
    <x v="0"/>
  </r>
  <r>
    <x v="0"/>
    <x v="14"/>
    <x v="14"/>
    <x v="10"/>
    <x v="10"/>
    <x v="10"/>
    <x v="16"/>
    <x v="125"/>
    <x v="165"/>
    <x v="55"/>
    <x v="215"/>
    <x v="77"/>
    <x v="178"/>
    <x v="0"/>
  </r>
  <r>
    <x v="0"/>
    <x v="14"/>
    <x v="14"/>
    <x v="36"/>
    <x v="36"/>
    <x v="36"/>
    <x v="16"/>
    <x v="125"/>
    <x v="165"/>
    <x v="74"/>
    <x v="217"/>
    <x v="94"/>
    <x v="121"/>
    <x v="0"/>
  </r>
  <r>
    <x v="0"/>
    <x v="15"/>
    <x v="15"/>
    <x v="1"/>
    <x v="1"/>
    <x v="1"/>
    <x v="0"/>
    <x v="68"/>
    <x v="166"/>
    <x v="27"/>
    <x v="222"/>
    <x v="78"/>
    <x v="180"/>
    <x v="0"/>
  </r>
  <r>
    <x v="0"/>
    <x v="15"/>
    <x v="15"/>
    <x v="0"/>
    <x v="0"/>
    <x v="0"/>
    <x v="1"/>
    <x v="74"/>
    <x v="167"/>
    <x v="54"/>
    <x v="223"/>
    <x v="70"/>
    <x v="181"/>
    <x v="0"/>
  </r>
  <r>
    <x v="0"/>
    <x v="15"/>
    <x v="15"/>
    <x v="7"/>
    <x v="7"/>
    <x v="7"/>
    <x v="2"/>
    <x v="94"/>
    <x v="168"/>
    <x v="85"/>
    <x v="62"/>
    <x v="92"/>
    <x v="182"/>
    <x v="0"/>
  </r>
  <r>
    <x v="0"/>
    <x v="15"/>
    <x v="15"/>
    <x v="3"/>
    <x v="3"/>
    <x v="3"/>
    <x v="3"/>
    <x v="81"/>
    <x v="169"/>
    <x v="67"/>
    <x v="80"/>
    <x v="61"/>
    <x v="183"/>
    <x v="0"/>
  </r>
  <r>
    <x v="0"/>
    <x v="15"/>
    <x v="15"/>
    <x v="13"/>
    <x v="13"/>
    <x v="13"/>
    <x v="3"/>
    <x v="81"/>
    <x v="169"/>
    <x v="52"/>
    <x v="47"/>
    <x v="80"/>
    <x v="184"/>
    <x v="0"/>
  </r>
  <r>
    <x v="0"/>
    <x v="15"/>
    <x v="15"/>
    <x v="2"/>
    <x v="2"/>
    <x v="2"/>
    <x v="5"/>
    <x v="123"/>
    <x v="170"/>
    <x v="76"/>
    <x v="29"/>
    <x v="95"/>
    <x v="2"/>
    <x v="0"/>
  </r>
  <r>
    <x v="0"/>
    <x v="15"/>
    <x v="15"/>
    <x v="33"/>
    <x v="33"/>
    <x v="33"/>
    <x v="6"/>
    <x v="118"/>
    <x v="171"/>
    <x v="67"/>
    <x v="80"/>
    <x v="96"/>
    <x v="185"/>
    <x v="0"/>
  </r>
  <r>
    <x v="0"/>
    <x v="15"/>
    <x v="15"/>
    <x v="17"/>
    <x v="17"/>
    <x v="17"/>
    <x v="7"/>
    <x v="120"/>
    <x v="118"/>
    <x v="67"/>
    <x v="80"/>
    <x v="92"/>
    <x v="182"/>
    <x v="0"/>
  </r>
  <r>
    <x v="0"/>
    <x v="15"/>
    <x v="15"/>
    <x v="15"/>
    <x v="15"/>
    <x v="15"/>
    <x v="7"/>
    <x v="120"/>
    <x v="118"/>
    <x v="55"/>
    <x v="67"/>
    <x v="76"/>
    <x v="186"/>
    <x v="0"/>
  </r>
  <r>
    <x v="0"/>
    <x v="15"/>
    <x v="15"/>
    <x v="8"/>
    <x v="8"/>
    <x v="8"/>
    <x v="7"/>
    <x v="120"/>
    <x v="118"/>
    <x v="79"/>
    <x v="83"/>
    <x v="98"/>
    <x v="168"/>
    <x v="0"/>
  </r>
  <r>
    <x v="0"/>
    <x v="15"/>
    <x v="15"/>
    <x v="42"/>
    <x v="42"/>
    <x v="42"/>
    <x v="10"/>
    <x v="137"/>
    <x v="151"/>
    <x v="74"/>
    <x v="79"/>
    <x v="48"/>
    <x v="17"/>
    <x v="0"/>
  </r>
  <r>
    <x v="0"/>
    <x v="15"/>
    <x v="15"/>
    <x v="38"/>
    <x v="38"/>
    <x v="38"/>
    <x v="10"/>
    <x v="137"/>
    <x v="151"/>
    <x v="69"/>
    <x v="50"/>
    <x v="70"/>
    <x v="181"/>
    <x v="0"/>
  </r>
  <r>
    <x v="0"/>
    <x v="15"/>
    <x v="15"/>
    <x v="10"/>
    <x v="10"/>
    <x v="10"/>
    <x v="10"/>
    <x v="137"/>
    <x v="151"/>
    <x v="69"/>
    <x v="50"/>
    <x v="70"/>
    <x v="181"/>
    <x v="0"/>
  </r>
  <r>
    <x v="0"/>
    <x v="15"/>
    <x v="15"/>
    <x v="5"/>
    <x v="5"/>
    <x v="5"/>
    <x v="10"/>
    <x v="137"/>
    <x v="151"/>
    <x v="70"/>
    <x v="86"/>
    <x v="80"/>
    <x v="184"/>
    <x v="0"/>
  </r>
  <r>
    <x v="0"/>
    <x v="15"/>
    <x v="15"/>
    <x v="43"/>
    <x v="43"/>
    <x v="43"/>
    <x v="19"/>
    <x v="122"/>
    <x v="60"/>
    <x v="88"/>
    <x v="224"/>
    <x v="70"/>
    <x v="181"/>
    <x v="0"/>
  </r>
  <r>
    <x v="0"/>
    <x v="15"/>
    <x v="15"/>
    <x v="31"/>
    <x v="31"/>
    <x v="31"/>
    <x v="19"/>
    <x v="122"/>
    <x v="60"/>
    <x v="113"/>
    <x v="225"/>
    <x v="98"/>
    <x v="168"/>
    <x v="0"/>
  </r>
  <r>
    <x v="0"/>
    <x v="15"/>
    <x v="15"/>
    <x v="44"/>
    <x v="44"/>
    <x v="44"/>
    <x v="15"/>
    <x v="124"/>
    <x v="63"/>
    <x v="115"/>
    <x v="226"/>
    <x v="66"/>
    <x v="187"/>
    <x v="0"/>
  </r>
  <r>
    <x v="0"/>
    <x v="15"/>
    <x v="15"/>
    <x v="12"/>
    <x v="12"/>
    <x v="12"/>
    <x v="15"/>
    <x v="124"/>
    <x v="63"/>
    <x v="69"/>
    <x v="50"/>
    <x v="95"/>
    <x v="2"/>
    <x v="0"/>
  </r>
  <r>
    <x v="0"/>
    <x v="15"/>
    <x v="15"/>
    <x v="14"/>
    <x v="14"/>
    <x v="14"/>
    <x v="17"/>
    <x v="125"/>
    <x v="74"/>
    <x v="78"/>
    <x v="192"/>
    <x v="48"/>
    <x v="17"/>
    <x v="0"/>
  </r>
  <r>
    <x v="0"/>
    <x v="15"/>
    <x v="15"/>
    <x v="29"/>
    <x v="29"/>
    <x v="29"/>
    <x v="17"/>
    <x v="125"/>
    <x v="74"/>
    <x v="78"/>
    <x v="192"/>
    <x v="48"/>
    <x v="17"/>
    <x v="0"/>
  </r>
  <r>
    <x v="0"/>
    <x v="15"/>
    <x v="15"/>
    <x v="25"/>
    <x v="25"/>
    <x v="25"/>
    <x v="17"/>
    <x v="125"/>
    <x v="74"/>
    <x v="88"/>
    <x v="224"/>
    <x v="95"/>
    <x v="2"/>
    <x v="0"/>
  </r>
  <r>
    <x v="0"/>
    <x v="15"/>
    <x v="15"/>
    <x v="45"/>
    <x v="45"/>
    <x v="45"/>
    <x v="17"/>
    <x v="125"/>
    <x v="74"/>
    <x v="120"/>
    <x v="211"/>
    <x v="54"/>
    <x v="188"/>
    <x v="0"/>
  </r>
  <r>
    <x v="0"/>
    <x v="16"/>
    <x v="16"/>
    <x v="0"/>
    <x v="0"/>
    <x v="0"/>
    <x v="0"/>
    <x v="55"/>
    <x v="172"/>
    <x v="34"/>
    <x v="227"/>
    <x v="77"/>
    <x v="79"/>
    <x v="0"/>
  </r>
  <r>
    <x v="0"/>
    <x v="16"/>
    <x v="16"/>
    <x v="2"/>
    <x v="2"/>
    <x v="2"/>
    <x v="1"/>
    <x v="139"/>
    <x v="173"/>
    <x v="104"/>
    <x v="228"/>
    <x v="95"/>
    <x v="189"/>
    <x v="0"/>
  </r>
  <r>
    <x v="0"/>
    <x v="16"/>
    <x v="16"/>
    <x v="7"/>
    <x v="7"/>
    <x v="7"/>
    <x v="2"/>
    <x v="77"/>
    <x v="174"/>
    <x v="76"/>
    <x v="229"/>
    <x v="50"/>
    <x v="190"/>
    <x v="0"/>
  </r>
  <r>
    <x v="0"/>
    <x v="16"/>
    <x v="16"/>
    <x v="13"/>
    <x v="13"/>
    <x v="13"/>
    <x v="3"/>
    <x v="104"/>
    <x v="175"/>
    <x v="118"/>
    <x v="230"/>
    <x v="96"/>
    <x v="191"/>
    <x v="0"/>
  </r>
  <r>
    <x v="0"/>
    <x v="16"/>
    <x v="16"/>
    <x v="6"/>
    <x v="6"/>
    <x v="6"/>
    <x v="4"/>
    <x v="140"/>
    <x v="176"/>
    <x v="77"/>
    <x v="231"/>
    <x v="76"/>
    <x v="108"/>
    <x v="0"/>
  </r>
  <r>
    <x v="0"/>
    <x v="16"/>
    <x v="16"/>
    <x v="12"/>
    <x v="12"/>
    <x v="12"/>
    <x v="5"/>
    <x v="105"/>
    <x v="177"/>
    <x v="32"/>
    <x v="232"/>
    <x v="82"/>
    <x v="98"/>
    <x v="0"/>
  </r>
  <r>
    <x v="0"/>
    <x v="16"/>
    <x v="16"/>
    <x v="3"/>
    <x v="3"/>
    <x v="3"/>
    <x v="6"/>
    <x v="132"/>
    <x v="178"/>
    <x v="78"/>
    <x v="16"/>
    <x v="56"/>
    <x v="192"/>
    <x v="0"/>
  </r>
  <r>
    <x v="0"/>
    <x v="16"/>
    <x v="16"/>
    <x v="8"/>
    <x v="8"/>
    <x v="8"/>
    <x v="6"/>
    <x v="132"/>
    <x v="178"/>
    <x v="76"/>
    <x v="229"/>
    <x v="70"/>
    <x v="193"/>
    <x v="0"/>
  </r>
  <r>
    <x v="0"/>
    <x v="16"/>
    <x v="16"/>
    <x v="11"/>
    <x v="11"/>
    <x v="11"/>
    <x v="8"/>
    <x v="81"/>
    <x v="179"/>
    <x v="95"/>
    <x v="233"/>
    <x v="70"/>
    <x v="193"/>
    <x v="0"/>
  </r>
  <r>
    <x v="0"/>
    <x v="16"/>
    <x v="16"/>
    <x v="9"/>
    <x v="9"/>
    <x v="9"/>
    <x v="9"/>
    <x v="123"/>
    <x v="180"/>
    <x v="37"/>
    <x v="104"/>
    <x v="70"/>
    <x v="193"/>
    <x v="0"/>
  </r>
  <r>
    <x v="0"/>
    <x v="16"/>
    <x v="16"/>
    <x v="5"/>
    <x v="5"/>
    <x v="5"/>
    <x v="10"/>
    <x v="83"/>
    <x v="23"/>
    <x v="62"/>
    <x v="31"/>
    <x v="48"/>
    <x v="194"/>
    <x v="0"/>
  </r>
  <r>
    <x v="0"/>
    <x v="16"/>
    <x v="16"/>
    <x v="14"/>
    <x v="14"/>
    <x v="14"/>
    <x v="11"/>
    <x v="127"/>
    <x v="181"/>
    <x v="113"/>
    <x v="46"/>
    <x v="66"/>
    <x v="71"/>
    <x v="0"/>
  </r>
  <r>
    <x v="0"/>
    <x v="16"/>
    <x v="16"/>
    <x v="15"/>
    <x v="15"/>
    <x v="15"/>
    <x v="12"/>
    <x v="119"/>
    <x v="43"/>
    <x v="80"/>
    <x v="234"/>
    <x v="73"/>
    <x v="195"/>
    <x v="0"/>
  </r>
  <r>
    <x v="0"/>
    <x v="16"/>
    <x v="16"/>
    <x v="31"/>
    <x v="31"/>
    <x v="31"/>
    <x v="13"/>
    <x v="85"/>
    <x v="182"/>
    <x v="79"/>
    <x v="235"/>
    <x v="94"/>
    <x v="133"/>
    <x v="0"/>
  </r>
  <r>
    <x v="0"/>
    <x v="16"/>
    <x v="16"/>
    <x v="10"/>
    <x v="10"/>
    <x v="10"/>
    <x v="13"/>
    <x v="85"/>
    <x v="182"/>
    <x v="45"/>
    <x v="236"/>
    <x v="77"/>
    <x v="79"/>
    <x v="0"/>
  </r>
  <r>
    <x v="0"/>
    <x v="16"/>
    <x v="16"/>
    <x v="17"/>
    <x v="17"/>
    <x v="17"/>
    <x v="14"/>
    <x v="86"/>
    <x v="29"/>
    <x v="86"/>
    <x v="182"/>
    <x v="66"/>
    <x v="71"/>
    <x v="0"/>
  </r>
  <r>
    <x v="0"/>
    <x v="16"/>
    <x v="16"/>
    <x v="33"/>
    <x v="33"/>
    <x v="33"/>
    <x v="14"/>
    <x v="86"/>
    <x v="29"/>
    <x v="74"/>
    <x v="237"/>
    <x v="54"/>
    <x v="196"/>
    <x v="0"/>
  </r>
  <r>
    <x v="0"/>
    <x v="16"/>
    <x v="16"/>
    <x v="16"/>
    <x v="16"/>
    <x v="16"/>
    <x v="16"/>
    <x v="120"/>
    <x v="183"/>
    <x v="55"/>
    <x v="99"/>
    <x v="76"/>
    <x v="108"/>
    <x v="0"/>
  </r>
  <r>
    <x v="0"/>
    <x v="16"/>
    <x v="16"/>
    <x v="25"/>
    <x v="25"/>
    <x v="25"/>
    <x v="16"/>
    <x v="120"/>
    <x v="183"/>
    <x v="74"/>
    <x v="237"/>
    <x v="78"/>
    <x v="197"/>
    <x v="0"/>
  </r>
  <r>
    <x v="0"/>
    <x v="16"/>
    <x v="16"/>
    <x v="27"/>
    <x v="27"/>
    <x v="27"/>
    <x v="18"/>
    <x v="121"/>
    <x v="109"/>
    <x v="80"/>
    <x v="234"/>
    <x v="76"/>
    <x v="108"/>
    <x v="0"/>
  </r>
  <r>
    <x v="0"/>
    <x v="16"/>
    <x v="16"/>
    <x v="32"/>
    <x v="32"/>
    <x v="32"/>
    <x v="18"/>
    <x v="121"/>
    <x v="109"/>
    <x v="86"/>
    <x v="182"/>
    <x v="48"/>
    <x v="194"/>
    <x v="0"/>
  </r>
  <r>
    <x v="0"/>
    <x v="17"/>
    <x v="17"/>
    <x v="0"/>
    <x v="0"/>
    <x v="0"/>
    <x v="0"/>
    <x v="140"/>
    <x v="184"/>
    <x v="96"/>
    <x v="238"/>
    <x v="70"/>
    <x v="198"/>
    <x v="0"/>
  </r>
  <r>
    <x v="0"/>
    <x v="17"/>
    <x v="17"/>
    <x v="5"/>
    <x v="5"/>
    <x v="5"/>
    <x v="1"/>
    <x v="79"/>
    <x v="185"/>
    <x v="95"/>
    <x v="239"/>
    <x v="77"/>
    <x v="199"/>
    <x v="0"/>
  </r>
  <r>
    <x v="0"/>
    <x v="17"/>
    <x v="17"/>
    <x v="3"/>
    <x v="3"/>
    <x v="3"/>
    <x v="2"/>
    <x v="80"/>
    <x v="186"/>
    <x v="55"/>
    <x v="240"/>
    <x v="75"/>
    <x v="200"/>
    <x v="0"/>
  </r>
  <r>
    <x v="0"/>
    <x v="17"/>
    <x v="17"/>
    <x v="2"/>
    <x v="2"/>
    <x v="2"/>
    <x v="3"/>
    <x v="127"/>
    <x v="148"/>
    <x v="52"/>
    <x v="241"/>
    <x v="95"/>
    <x v="201"/>
    <x v="0"/>
  </r>
  <r>
    <x v="0"/>
    <x v="17"/>
    <x v="17"/>
    <x v="4"/>
    <x v="4"/>
    <x v="4"/>
    <x v="4"/>
    <x v="119"/>
    <x v="187"/>
    <x v="77"/>
    <x v="242"/>
    <x v="98"/>
    <x v="168"/>
    <x v="0"/>
  </r>
  <r>
    <x v="0"/>
    <x v="17"/>
    <x v="17"/>
    <x v="46"/>
    <x v="46"/>
    <x v="46"/>
    <x v="5"/>
    <x v="84"/>
    <x v="188"/>
    <x v="45"/>
    <x v="11"/>
    <x v="78"/>
    <x v="202"/>
    <x v="0"/>
  </r>
  <r>
    <x v="0"/>
    <x v="17"/>
    <x v="17"/>
    <x v="8"/>
    <x v="8"/>
    <x v="8"/>
    <x v="6"/>
    <x v="85"/>
    <x v="52"/>
    <x v="118"/>
    <x v="243"/>
    <x v="98"/>
    <x v="168"/>
    <x v="0"/>
  </r>
  <r>
    <x v="0"/>
    <x v="17"/>
    <x v="17"/>
    <x v="7"/>
    <x v="7"/>
    <x v="7"/>
    <x v="7"/>
    <x v="86"/>
    <x v="81"/>
    <x v="113"/>
    <x v="114"/>
    <x v="82"/>
    <x v="203"/>
    <x v="0"/>
  </r>
  <r>
    <x v="0"/>
    <x v="17"/>
    <x v="17"/>
    <x v="10"/>
    <x v="10"/>
    <x v="10"/>
    <x v="7"/>
    <x v="86"/>
    <x v="81"/>
    <x v="113"/>
    <x v="114"/>
    <x v="82"/>
    <x v="203"/>
    <x v="0"/>
  </r>
  <r>
    <x v="0"/>
    <x v="17"/>
    <x v="17"/>
    <x v="9"/>
    <x v="9"/>
    <x v="9"/>
    <x v="9"/>
    <x v="87"/>
    <x v="102"/>
    <x v="79"/>
    <x v="244"/>
    <x v="53"/>
    <x v="59"/>
    <x v="0"/>
  </r>
  <r>
    <x v="0"/>
    <x v="17"/>
    <x v="17"/>
    <x v="12"/>
    <x v="12"/>
    <x v="12"/>
    <x v="10"/>
    <x v="138"/>
    <x v="127"/>
    <x v="69"/>
    <x v="245"/>
    <x v="82"/>
    <x v="203"/>
    <x v="0"/>
  </r>
  <r>
    <x v="0"/>
    <x v="17"/>
    <x v="17"/>
    <x v="13"/>
    <x v="13"/>
    <x v="13"/>
    <x v="11"/>
    <x v="122"/>
    <x v="189"/>
    <x v="70"/>
    <x v="246"/>
    <x v="94"/>
    <x v="23"/>
    <x v="0"/>
  </r>
  <r>
    <x v="0"/>
    <x v="17"/>
    <x v="17"/>
    <x v="17"/>
    <x v="17"/>
    <x v="17"/>
    <x v="12"/>
    <x v="124"/>
    <x v="182"/>
    <x v="72"/>
    <x v="247"/>
    <x v="54"/>
    <x v="204"/>
    <x v="0"/>
  </r>
  <r>
    <x v="0"/>
    <x v="17"/>
    <x v="17"/>
    <x v="31"/>
    <x v="31"/>
    <x v="31"/>
    <x v="12"/>
    <x v="124"/>
    <x v="182"/>
    <x v="70"/>
    <x v="246"/>
    <x v="70"/>
    <x v="198"/>
    <x v="0"/>
  </r>
  <r>
    <x v="0"/>
    <x v="17"/>
    <x v="17"/>
    <x v="6"/>
    <x v="6"/>
    <x v="6"/>
    <x v="12"/>
    <x v="124"/>
    <x v="182"/>
    <x v="86"/>
    <x v="201"/>
    <x v="94"/>
    <x v="23"/>
    <x v="0"/>
  </r>
  <r>
    <x v="0"/>
    <x v="17"/>
    <x v="17"/>
    <x v="34"/>
    <x v="34"/>
    <x v="34"/>
    <x v="12"/>
    <x v="124"/>
    <x v="182"/>
    <x v="86"/>
    <x v="201"/>
    <x v="94"/>
    <x v="23"/>
    <x v="0"/>
  </r>
  <r>
    <x v="0"/>
    <x v="17"/>
    <x v="17"/>
    <x v="19"/>
    <x v="19"/>
    <x v="19"/>
    <x v="15"/>
    <x v="125"/>
    <x v="58"/>
    <x v="67"/>
    <x v="248"/>
    <x v="80"/>
    <x v="176"/>
    <x v="0"/>
  </r>
  <r>
    <x v="0"/>
    <x v="17"/>
    <x v="17"/>
    <x v="16"/>
    <x v="16"/>
    <x v="16"/>
    <x v="15"/>
    <x v="125"/>
    <x v="58"/>
    <x v="120"/>
    <x v="211"/>
    <x v="54"/>
    <x v="204"/>
    <x v="0"/>
  </r>
  <r>
    <x v="0"/>
    <x v="17"/>
    <x v="17"/>
    <x v="15"/>
    <x v="15"/>
    <x v="15"/>
    <x v="15"/>
    <x v="125"/>
    <x v="58"/>
    <x v="115"/>
    <x v="249"/>
    <x v="92"/>
    <x v="165"/>
    <x v="0"/>
  </r>
  <r>
    <x v="0"/>
    <x v="17"/>
    <x v="17"/>
    <x v="11"/>
    <x v="11"/>
    <x v="11"/>
    <x v="15"/>
    <x v="125"/>
    <x v="58"/>
    <x v="86"/>
    <x v="201"/>
    <x v="53"/>
    <x v="59"/>
    <x v="3"/>
  </r>
  <r>
    <x v="0"/>
    <x v="18"/>
    <x v="18"/>
    <x v="0"/>
    <x v="0"/>
    <x v="0"/>
    <x v="0"/>
    <x v="141"/>
    <x v="190"/>
    <x v="122"/>
    <x v="250"/>
    <x v="82"/>
    <x v="133"/>
    <x v="0"/>
  </r>
  <r>
    <x v="0"/>
    <x v="18"/>
    <x v="18"/>
    <x v="2"/>
    <x v="2"/>
    <x v="2"/>
    <x v="1"/>
    <x v="61"/>
    <x v="191"/>
    <x v="123"/>
    <x v="251"/>
    <x v="95"/>
    <x v="205"/>
    <x v="0"/>
  </r>
  <r>
    <x v="0"/>
    <x v="18"/>
    <x v="18"/>
    <x v="7"/>
    <x v="7"/>
    <x v="7"/>
    <x v="2"/>
    <x v="142"/>
    <x v="192"/>
    <x v="101"/>
    <x v="252"/>
    <x v="61"/>
    <x v="206"/>
    <x v="0"/>
  </r>
  <r>
    <x v="0"/>
    <x v="18"/>
    <x v="18"/>
    <x v="10"/>
    <x v="10"/>
    <x v="10"/>
    <x v="3"/>
    <x v="131"/>
    <x v="169"/>
    <x v="66"/>
    <x v="253"/>
    <x v="59"/>
    <x v="207"/>
    <x v="0"/>
  </r>
  <r>
    <x v="0"/>
    <x v="18"/>
    <x v="18"/>
    <x v="1"/>
    <x v="1"/>
    <x v="1"/>
    <x v="4"/>
    <x v="143"/>
    <x v="89"/>
    <x v="89"/>
    <x v="254"/>
    <x v="69"/>
    <x v="208"/>
    <x v="0"/>
  </r>
  <r>
    <x v="0"/>
    <x v="18"/>
    <x v="18"/>
    <x v="5"/>
    <x v="5"/>
    <x v="5"/>
    <x v="5"/>
    <x v="99"/>
    <x v="193"/>
    <x v="124"/>
    <x v="200"/>
    <x v="92"/>
    <x v="139"/>
    <x v="0"/>
  </r>
  <r>
    <x v="0"/>
    <x v="18"/>
    <x v="18"/>
    <x v="3"/>
    <x v="3"/>
    <x v="3"/>
    <x v="6"/>
    <x v="91"/>
    <x v="194"/>
    <x v="50"/>
    <x v="255"/>
    <x v="68"/>
    <x v="209"/>
    <x v="0"/>
  </r>
  <r>
    <x v="0"/>
    <x v="18"/>
    <x v="18"/>
    <x v="6"/>
    <x v="6"/>
    <x v="6"/>
    <x v="7"/>
    <x v="144"/>
    <x v="195"/>
    <x v="103"/>
    <x v="256"/>
    <x v="92"/>
    <x v="139"/>
    <x v="0"/>
  </r>
  <r>
    <x v="0"/>
    <x v="18"/>
    <x v="18"/>
    <x v="8"/>
    <x v="8"/>
    <x v="8"/>
    <x v="8"/>
    <x v="73"/>
    <x v="25"/>
    <x v="58"/>
    <x v="257"/>
    <x v="70"/>
    <x v="210"/>
    <x v="0"/>
  </r>
  <r>
    <x v="0"/>
    <x v="18"/>
    <x v="18"/>
    <x v="4"/>
    <x v="4"/>
    <x v="4"/>
    <x v="9"/>
    <x v="116"/>
    <x v="196"/>
    <x v="38"/>
    <x v="258"/>
    <x v="70"/>
    <x v="210"/>
    <x v="0"/>
  </r>
  <r>
    <x v="0"/>
    <x v="18"/>
    <x v="18"/>
    <x v="47"/>
    <x v="47"/>
    <x v="47"/>
    <x v="9"/>
    <x v="116"/>
    <x v="196"/>
    <x v="120"/>
    <x v="211"/>
    <x v="95"/>
    <x v="205"/>
    <x v="5"/>
  </r>
  <r>
    <x v="0"/>
    <x v="18"/>
    <x v="18"/>
    <x v="33"/>
    <x v="33"/>
    <x v="33"/>
    <x v="11"/>
    <x v="145"/>
    <x v="189"/>
    <x v="87"/>
    <x v="259"/>
    <x v="88"/>
    <x v="211"/>
    <x v="0"/>
  </r>
  <r>
    <x v="0"/>
    <x v="18"/>
    <x v="18"/>
    <x v="46"/>
    <x v="46"/>
    <x v="46"/>
    <x v="12"/>
    <x v="135"/>
    <x v="85"/>
    <x v="82"/>
    <x v="260"/>
    <x v="78"/>
    <x v="212"/>
    <x v="0"/>
  </r>
  <r>
    <x v="0"/>
    <x v="18"/>
    <x v="18"/>
    <x v="31"/>
    <x v="31"/>
    <x v="31"/>
    <x v="13"/>
    <x v="139"/>
    <x v="95"/>
    <x v="61"/>
    <x v="261"/>
    <x v="92"/>
    <x v="139"/>
    <x v="3"/>
  </r>
  <r>
    <x v="0"/>
    <x v="18"/>
    <x v="18"/>
    <x v="32"/>
    <x v="32"/>
    <x v="32"/>
    <x v="19"/>
    <x v="76"/>
    <x v="29"/>
    <x v="61"/>
    <x v="261"/>
    <x v="92"/>
    <x v="139"/>
    <x v="0"/>
  </r>
  <r>
    <x v="0"/>
    <x v="18"/>
    <x v="18"/>
    <x v="12"/>
    <x v="12"/>
    <x v="12"/>
    <x v="19"/>
    <x v="76"/>
    <x v="29"/>
    <x v="111"/>
    <x v="262"/>
    <x v="80"/>
    <x v="60"/>
    <x v="0"/>
  </r>
  <r>
    <x v="0"/>
    <x v="18"/>
    <x v="18"/>
    <x v="14"/>
    <x v="14"/>
    <x v="14"/>
    <x v="15"/>
    <x v="93"/>
    <x v="197"/>
    <x v="117"/>
    <x v="124"/>
    <x v="59"/>
    <x v="207"/>
    <x v="0"/>
  </r>
  <r>
    <x v="0"/>
    <x v="18"/>
    <x v="18"/>
    <x v="9"/>
    <x v="9"/>
    <x v="9"/>
    <x v="15"/>
    <x v="93"/>
    <x v="197"/>
    <x v="84"/>
    <x v="263"/>
    <x v="95"/>
    <x v="205"/>
    <x v="0"/>
  </r>
  <r>
    <x v="0"/>
    <x v="18"/>
    <x v="18"/>
    <x v="17"/>
    <x v="17"/>
    <x v="17"/>
    <x v="17"/>
    <x v="95"/>
    <x v="31"/>
    <x v="77"/>
    <x v="264"/>
    <x v="55"/>
    <x v="213"/>
    <x v="0"/>
  </r>
  <r>
    <x v="0"/>
    <x v="18"/>
    <x v="18"/>
    <x v="43"/>
    <x v="43"/>
    <x v="43"/>
    <x v="17"/>
    <x v="95"/>
    <x v="31"/>
    <x v="82"/>
    <x v="260"/>
    <x v="53"/>
    <x v="138"/>
    <x v="3"/>
  </r>
  <r>
    <x v="0"/>
    <x v="18"/>
    <x v="18"/>
    <x v="34"/>
    <x v="34"/>
    <x v="34"/>
    <x v="17"/>
    <x v="95"/>
    <x v="31"/>
    <x v="82"/>
    <x v="260"/>
    <x v="70"/>
    <x v="210"/>
    <x v="0"/>
  </r>
  <r>
    <x v="0"/>
    <x v="19"/>
    <x v="19"/>
    <x v="0"/>
    <x v="0"/>
    <x v="0"/>
    <x v="0"/>
    <x v="101"/>
    <x v="198"/>
    <x v="38"/>
    <x v="265"/>
    <x v="82"/>
    <x v="214"/>
    <x v="0"/>
  </r>
  <r>
    <x v="0"/>
    <x v="19"/>
    <x v="19"/>
    <x v="2"/>
    <x v="2"/>
    <x v="2"/>
    <x v="1"/>
    <x v="79"/>
    <x v="199"/>
    <x v="96"/>
    <x v="266"/>
    <x v="95"/>
    <x v="215"/>
    <x v="0"/>
  </r>
  <r>
    <x v="0"/>
    <x v="19"/>
    <x v="19"/>
    <x v="11"/>
    <x v="11"/>
    <x v="11"/>
    <x v="2"/>
    <x v="80"/>
    <x v="114"/>
    <x v="37"/>
    <x v="267"/>
    <x v="82"/>
    <x v="214"/>
    <x v="0"/>
  </r>
  <r>
    <x v="0"/>
    <x v="19"/>
    <x v="19"/>
    <x v="8"/>
    <x v="8"/>
    <x v="8"/>
    <x v="3"/>
    <x v="123"/>
    <x v="200"/>
    <x v="95"/>
    <x v="268"/>
    <x v="53"/>
    <x v="216"/>
    <x v="0"/>
  </r>
  <r>
    <x v="0"/>
    <x v="19"/>
    <x v="19"/>
    <x v="3"/>
    <x v="3"/>
    <x v="3"/>
    <x v="4"/>
    <x v="82"/>
    <x v="187"/>
    <x v="72"/>
    <x v="64"/>
    <x v="90"/>
    <x v="217"/>
    <x v="0"/>
  </r>
  <r>
    <x v="0"/>
    <x v="19"/>
    <x v="19"/>
    <x v="6"/>
    <x v="6"/>
    <x v="6"/>
    <x v="5"/>
    <x v="84"/>
    <x v="201"/>
    <x v="88"/>
    <x v="121"/>
    <x v="66"/>
    <x v="218"/>
    <x v="0"/>
  </r>
  <r>
    <x v="0"/>
    <x v="19"/>
    <x v="19"/>
    <x v="1"/>
    <x v="1"/>
    <x v="1"/>
    <x v="5"/>
    <x v="84"/>
    <x v="201"/>
    <x v="72"/>
    <x v="64"/>
    <x v="72"/>
    <x v="219"/>
    <x v="0"/>
  </r>
  <r>
    <x v="0"/>
    <x v="19"/>
    <x v="19"/>
    <x v="9"/>
    <x v="9"/>
    <x v="9"/>
    <x v="5"/>
    <x v="84"/>
    <x v="201"/>
    <x v="87"/>
    <x v="269"/>
    <x v="53"/>
    <x v="216"/>
    <x v="0"/>
  </r>
  <r>
    <x v="0"/>
    <x v="19"/>
    <x v="19"/>
    <x v="14"/>
    <x v="14"/>
    <x v="14"/>
    <x v="8"/>
    <x v="85"/>
    <x v="202"/>
    <x v="68"/>
    <x v="179"/>
    <x v="59"/>
    <x v="140"/>
    <x v="0"/>
  </r>
  <r>
    <x v="0"/>
    <x v="19"/>
    <x v="19"/>
    <x v="16"/>
    <x v="16"/>
    <x v="16"/>
    <x v="9"/>
    <x v="86"/>
    <x v="203"/>
    <x v="78"/>
    <x v="270"/>
    <x v="59"/>
    <x v="140"/>
    <x v="0"/>
  </r>
  <r>
    <x v="0"/>
    <x v="19"/>
    <x v="19"/>
    <x v="27"/>
    <x v="27"/>
    <x v="27"/>
    <x v="10"/>
    <x v="138"/>
    <x v="181"/>
    <x v="80"/>
    <x v="15"/>
    <x v="59"/>
    <x v="140"/>
    <x v="0"/>
  </r>
  <r>
    <x v="0"/>
    <x v="19"/>
    <x v="19"/>
    <x v="31"/>
    <x v="31"/>
    <x v="31"/>
    <x v="11"/>
    <x v="120"/>
    <x v="41"/>
    <x v="88"/>
    <x v="121"/>
    <x v="82"/>
    <x v="214"/>
    <x v="0"/>
  </r>
  <r>
    <x v="0"/>
    <x v="19"/>
    <x v="19"/>
    <x v="7"/>
    <x v="7"/>
    <x v="7"/>
    <x v="12"/>
    <x v="121"/>
    <x v="94"/>
    <x v="86"/>
    <x v="271"/>
    <x v="48"/>
    <x v="39"/>
    <x v="0"/>
  </r>
  <r>
    <x v="0"/>
    <x v="19"/>
    <x v="19"/>
    <x v="28"/>
    <x v="28"/>
    <x v="28"/>
    <x v="13"/>
    <x v="137"/>
    <x v="164"/>
    <x v="80"/>
    <x v="15"/>
    <x v="54"/>
    <x v="67"/>
    <x v="0"/>
  </r>
  <r>
    <x v="0"/>
    <x v="19"/>
    <x v="19"/>
    <x v="48"/>
    <x v="48"/>
    <x v="48"/>
    <x v="13"/>
    <x v="137"/>
    <x v="164"/>
    <x v="115"/>
    <x v="108"/>
    <x v="76"/>
    <x v="220"/>
    <x v="0"/>
  </r>
  <r>
    <x v="0"/>
    <x v="19"/>
    <x v="19"/>
    <x v="37"/>
    <x v="37"/>
    <x v="37"/>
    <x v="13"/>
    <x v="137"/>
    <x v="164"/>
    <x v="88"/>
    <x v="121"/>
    <x v="94"/>
    <x v="221"/>
    <x v="0"/>
  </r>
  <r>
    <x v="0"/>
    <x v="19"/>
    <x v="19"/>
    <x v="10"/>
    <x v="10"/>
    <x v="10"/>
    <x v="15"/>
    <x v="124"/>
    <x v="96"/>
    <x v="74"/>
    <x v="272"/>
    <x v="80"/>
    <x v="121"/>
    <x v="0"/>
  </r>
  <r>
    <x v="0"/>
    <x v="19"/>
    <x v="19"/>
    <x v="5"/>
    <x v="5"/>
    <x v="5"/>
    <x v="15"/>
    <x v="124"/>
    <x v="96"/>
    <x v="88"/>
    <x v="121"/>
    <x v="53"/>
    <x v="216"/>
    <x v="0"/>
  </r>
  <r>
    <x v="0"/>
    <x v="19"/>
    <x v="19"/>
    <x v="12"/>
    <x v="12"/>
    <x v="12"/>
    <x v="15"/>
    <x v="124"/>
    <x v="96"/>
    <x v="88"/>
    <x v="121"/>
    <x v="53"/>
    <x v="216"/>
    <x v="0"/>
  </r>
  <r>
    <x v="0"/>
    <x v="19"/>
    <x v="19"/>
    <x v="13"/>
    <x v="13"/>
    <x v="13"/>
    <x v="18"/>
    <x v="125"/>
    <x v="73"/>
    <x v="78"/>
    <x v="270"/>
    <x v="48"/>
    <x v="39"/>
    <x v="0"/>
  </r>
  <r>
    <x v="0"/>
    <x v="20"/>
    <x v="20"/>
    <x v="2"/>
    <x v="2"/>
    <x v="2"/>
    <x v="0"/>
    <x v="122"/>
    <x v="204"/>
    <x v="113"/>
    <x v="273"/>
    <x v="98"/>
    <x v="168"/>
    <x v="0"/>
  </r>
  <r>
    <x v="0"/>
    <x v="20"/>
    <x v="20"/>
    <x v="3"/>
    <x v="3"/>
    <x v="3"/>
    <x v="1"/>
    <x v="124"/>
    <x v="205"/>
    <x v="72"/>
    <x v="210"/>
    <x v="54"/>
    <x v="222"/>
    <x v="0"/>
  </r>
  <r>
    <x v="0"/>
    <x v="20"/>
    <x v="20"/>
    <x v="0"/>
    <x v="0"/>
    <x v="0"/>
    <x v="1"/>
    <x v="124"/>
    <x v="205"/>
    <x v="45"/>
    <x v="274"/>
    <x v="98"/>
    <x v="168"/>
    <x v="0"/>
  </r>
  <r>
    <x v="0"/>
    <x v="20"/>
    <x v="20"/>
    <x v="13"/>
    <x v="13"/>
    <x v="13"/>
    <x v="3"/>
    <x v="130"/>
    <x v="206"/>
    <x v="67"/>
    <x v="275"/>
    <x v="53"/>
    <x v="143"/>
    <x v="0"/>
  </r>
  <r>
    <x v="0"/>
    <x v="20"/>
    <x v="20"/>
    <x v="7"/>
    <x v="7"/>
    <x v="7"/>
    <x v="3"/>
    <x v="130"/>
    <x v="206"/>
    <x v="67"/>
    <x v="275"/>
    <x v="53"/>
    <x v="143"/>
    <x v="0"/>
  </r>
  <r>
    <x v="0"/>
    <x v="20"/>
    <x v="20"/>
    <x v="6"/>
    <x v="6"/>
    <x v="6"/>
    <x v="5"/>
    <x v="146"/>
    <x v="207"/>
    <x v="55"/>
    <x v="12"/>
    <x v="70"/>
    <x v="223"/>
    <x v="0"/>
  </r>
  <r>
    <x v="0"/>
    <x v="20"/>
    <x v="20"/>
    <x v="33"/>
    <x v="33"/>
    <x v="33"/>
    <x v="5"/>
    <x v="146"/>
    <x v="207"/>
    <x v="55"/>
    <x v="12"/>
    <x v="70"/>
    <x v="223"/>
    <x v="0"/>
  </r>
  <r>
    <x v="0"/>
    <x v="20"/>
    <x v="20"/>
    <x v="17"/>
    <x v="17"/>
    <x v="17"/>
    <x v="7"/>
    <x v="147"/>
    <x v="208"/>
    <x v="115"/>
    <x v="276"/>
    <x v="94"/>
    <x v="224"/>
    <x v="0"/>
  </r>
  <r>
    <x v="0"/>
    <x v="20"/>
    <x v="20"/>
    <x v="14"/>
    <x v="14"/>
    <x v="14"/>
    <x v="7"/>
    <x v="147"/>
    <x v="208"/>
    <x v="55"/>
    <x v="12"/>
    <x v="53"/>
    <x v="143"/>
    <x v="0"/>
  </r>
  <r>
    <x v="0"/>
    <x v="20"/>
    <x v="20"/>
    <x v="12"/>
    <x v="12"/>
    <x v="12"/>
    <x v="7"/>
    <x v="147"/>
    <x v="208"/>
    <x v="78"/>
    <x v="277"/>
    <x v="95"/>
    <x v="225"/>
    <x v="0"/>
  </r>
  <r>
    <x v="0"/>
    <x v="20"/>
    <x v="20"/>
    <x v="49"/>
    <x v="49"/>
    <x v="49"/>
    <x v="10"/>
    <x v="148"/>
    <x v="40"/>
    <x v="55"/>
    <x v="12"/>
    <x v="95"/>
    <x v="225"/>
    <x v="0"/>
  </r>
  <r>
    <x v="0"/>
    <x v="20"/>
    <x v="20"/>
    <x v="9"/>
    <x v="9"/>
    <x v="9"/>
    <x v="10"/>
    <x v="148"/>
    <x v="40"/>
    <x v="78"/>
    <x v="277"/>
    <x v="98"/>
    <x v="168"/>
    <x v="0"/>
  </r>
  <r>
    <x v="0"/>
    <x v="20"/>
    <x v="20"/>
    <x v="50"/>
    <x v="50"/>
    <x v="50"/>
    <x v="12"/>
    <x v="149"/>
    <x v="84"/>
    <x v="55"/>
    <x v="12"/>
    <x v="98"/>
    <x v="168"/>
    <x v="0"/>
  </r>
  <r>
    <x v="0"/>
    <x v="20"/>
    <x v="20"/>
    <x v="51"/>
    <x v="51"/>
    <x v="51"/>
    <x v="12"/>
    <x v="149"/>
    <x v="84"/>
    <x v="72"/>
    <x v="210"/>
    <x v="70"/>
    <x v="223"/>
    <x v="0"/>
  </r>
  <r>
    <x v="0"/>
    <x v="20"/>
    <x v="20"/>
    <x v="16"/>
    <x v="16"/>
    <x v="16"/>
    <x v="12"/>
    <x v="149"/>
    <x v="84"/>
    <x v="72"/>
    <x v="210"/>
    <x v="70"/>
    <x v="223"/>
    <x v="0"/>
  </r>
  <r>
    <x v="0"/>
    <x v="20"/>
    <x v="20"/>
    <x v="10"/>
    <x v="10"/>
    <x v="10"/>
    <x v="12"/>
    <x v="149"/>
    <x v="84"/>
    <x v="115"/>
    <x v="276"/>
    <x v="53"/>
    <x v="143"/>
    <x v="0"/>
  </r>
  <r>
    <x v="0"/>
    <x v="20"/>
    <x v="20"/>
    <x v="5"/>
    <x v="5"/>
    <x v="5"/>
    <x v="12"/>
    <x v="149"/>
    <x v="84"/>
    <x v="115"/>
    <x v="276"/>
    <x v="53"/>
    <x v="143"/>
    <x v="0"/>
  </r>
  <r>
    <x v="0"/>
    <x v="20"/>
    <x v="20"/>
    <x v="52"/>
    <x v="52"/>
    <x v="52"/>
    <x v="12"/>
    <x v="149"/>
    <x v="84"/>
    <x v="115"/>
    <x v="276"/>
    <x v="53"/>
    <x v="143"/>
    <x v="0"/>
  </r>
  <r>
    <x v="0"/>
    <x v="20"/>
    <x v="20"/>
    <x v="11"/>
    <x v="11"/>
    <x v="11"/>
    <x v="12"/>
    <x v="149"/>
    <x v="84"/>
    <x v="55"/>
    <x v="12"/>
    <x v="98"/>
    <x v="168"/>
    <x v="0"/>
  </r>
  <r>
    <x v="0"/>
    <x v="20"/>
    <x v="20"/>
    <x v="8"/>
    <x v="8"/>
    <x v="8"/>
    <x v="12"/>
    <x v="149"/>
    <x v="84"/>
    <x v="80"/>
    <x v="217"/>
    <x v="95"/>
    <x v="225"/>
    <x v="0"/>
  </r>
  <r>
    <x v="0"/>
    <x v="21"/>
    <x v="21"/>
    <x v="3"/>
    <x v="3"/>
    <x v="3"/>
    <x v="0"/>
    <x v="146"/>
    <x v="209"/>
    <x v="115"/>
    <x v="278"/>
    <x v="80"/>
    <x v="226"/>
    <x v="0"/>
  </r>
  <r>
    <x v="0"/>
    <x v="21"/>
    <x v="21"/>
    <x v="0"/>
    <x v="0"/>
    <x v="0"/>
    <x v="1"/>
    <x v="147"/>
    <x v="190"/>
    <x v="68"/>
    <x v="279"/>
    <x v="98"/>
    <x v="168"/>
    <x v="0"/>
  </r>
  <r>
    <x v="0"/>
    <x v="21"/>
    <x v="21"/>
    <x v="8"/>
    <x v="8"/>
    <x v="8"/>
    <x v="1"/>
    <x v="147"/>
    <x v="190"/>
    <x v="68"/>
    <x v="279"/>
    <x v="98"/>
    <x v="168"/>
    <x v="0"/>
  </r>
  <r>
    <x v="0"/>
    <x v="21"/>
    <x v="21"/>
    <x v="13"/>
    <x v="13"/>
    <x v="13"/>
    <x v="3"/>
    <x v="148"/>
    <x v="210"/>
    <x v="80"/>
    <x v="280"/>
    <x v="53"/>
    <x v="43"/>
    <x v="0"/>
  </r>
  <r>
    <x v="0"/>
    <x v="21"/>
    <x v="21"/>
    <x v="2"/>
    <x v="2"/>
    <x v="2"/>
    <x v="3"/>
    <x v="148"/>
    <x v="210"/>
    <x v="78"/>
    <x v="281"/>
    <x v="98"/>
    <x v="168"/>
    <x v="0"/>
  </r>
  <r>
    <x v="0"/>
    <x v="21"/>
    <x v="21"/>
    <x v="12"/>
    <x v="12"/>
    <x v="12"/>
    <x v="3"/>
    <x v="148"/>
    <x v="210"/>
    <x v="115"/>
    <x v="278"/>
    <x v="70"/>
    <x v="227"/>
    <x v="0"/>
  </r>
  <r>
    <x v="0"/>
    <x v="21"/>
    <x v="21"/>
    <x v="1"/>
    <x v="1"/>
    <x v="1"/>
    <x v="6"/>
    <x v="149"/>
    <x v="211"/>
    <x v="80"/>
    <x v="280"/>
    <x v="95"/>
    <x v="228"/>
    <x v="0"/>
  </r>
  <r>
    <x v="0"/>
    <x v="21"/>
    <x v="21"/>
    <x v="39"/>
    <x v="39"/>
    <x v="39"/>
    <x v="7"/>
    <x v="150"/>
    <x v="212"/>
    <x v="72"/>
    <x v="130"/>
    <x v="53"/>
    <x v="43"/>
    <x v="0"/>
  </r>
  <r>
    <x v="0"/>
    <x v="21"/>
    <x v="21"/>
    <x v="31"/>
    <x v="31"/>
    <x v="31"/>
    <x v="7"/>
    <x v="150"/>
    <x v="212"/>
    <x v="115"/>
    <x v="278"/>
    <x v="95"/>
    <x v="228"/>
    <x v="0"/>
  </r>
  <r>
    <x v="0"/>
    <x v="21"/>
    <x v="21"/>
    <x v="33"/>
    <x v="33"/>
    <x v="33"/>
    <x v="7"/>
    <x v="150"/>
    <x v="212"/>
    <x v="72"/>
    <x v="130"/>
    <x v="53"/>
    <x v="43"/>
    <x v="0"/>
  </r>
  <r>
    <x v="0"/>
    <x v="21"/>
    <x v="21"/>
    <x v="7"/>
    <x v="7"/>
    <x v="7"/>
    <x v="10"/>
    <x v="151"/>
    <x v="25"/>
    <x v="115"/>
    <x v="278"/>
    <x v="98"/>
    <x v="168"/>
    <x v="0"/>
  </r>
  <r>
    <x v="0"/>
    <x v="21"/>
    <x v="21"/>
    <x v="6"/>
    <x v="6"/>
    <x v="6"/>
    <x v="10"/>
    <x v="151"/>
    <x v="25"/>
    <x v="72"/>
    <x v="130"/>
    <x v="95"/>
    <x v="228"/>
    <x v="0"/>
  </r>
  <r>
    <x v="0"/>
    <x v="21"/>
    <x v="21"/>
    <x v="16"/>
    <x v="16"/>
    <x v="16"/>
    <x v="10"/>
    <x v="151"/>
    <x v="25"/>
    <x v="120"/>
    <x v="211"/>
    <x v="53"/>
    <x v="43"/>
    <x v="0"/>
  </r>
  <r>
    <x v="0"/>
    <x v="21"/>
    <x v="21"/>
    <x v="53"/>
    <x v="53"/>
    <x v="53"/>
    <x v="10"/>
    <x v="151"/>
    <x v="25"/>
    <x v="115"/>
    <x v="278"/>
    <x v="98"/>
    <x v="168"/>
    <x v="0"/>
  </r>
  <r>
    <x v="0"/>
    <x v="21"/>
    <x v="21"/>
    <x v="48"/>
    <x v="48"/>
    <x v="48"/>
    <x v="10"/>
    <x v="151"/>
    <x v="25"/>
    <x v="72"/>
    <x v="130"/>
    <x v="95"/>
    <x v="228"/>
    <x v="0"/>
  </r>
  <r>
    <x v="0"/>
    <x v="21"/>
    <x v="21"/>
    <x v="54"/>
    <x v="54"/>
    <x v="54"/>
    <x v="10"/>
    <x v="151"/>
    <x v="25"/>
    <x v="115"/>
    <x v="278"/>
    <x v="98"/>
    <x v="168"/>
    <x v="0"/>
  </r>
  <r>
    <x v="0"/>
    <x v="21"/>
    <x v="21"/>
    <x v="55"/>
    <x v="55"/>
    <x v="55"/>
    <x v="10"/>
    <x v="151"/>
    <x v="25"/>
    <x v="120"/>
    <x v="211"/>
    <x v="95"/>
    <x v="228"/>
    <x v="0"/>
  </r>
  <r>
    <x v="0"/>
    <x v="21"/>
    <x v="21"/>
    <x v="56"/>
    <x v="56"/>
    <x v="56"/>
    <x v="16"/>
    <x v="152"/>
    <x v="213"/>
    <x v="120"/>
    <x v="211"/>
    <x v="95"/>
    <x v="228"/>
    <x v="0"/>
  </r>
  <r>
    <x v="0"/>
    <x v="21"/>
    <x v="21"/>
    <x v="49"/>
    <x v="49"/>
    <x v="49"/>
    <x v="16"/>
    <x v="152"/>
    <x v="213"/>
    <x v="120"/>
    <x v="211"/>
    <x v="95"/>
    <x v="228"/>
    <x v="0"/>
  </r>
  <r>
    <x v="0"/>
    <x v="21"/>
    <x v="21"/>
    <x v="57"/>
    <x v="57"/>
    <x v="57"/>
    <x v="16"/>
    <x v="152"/>
    <x v="213"/>
    <x v="120"/>
    <x v="211"/>
    <x v="95"/>
    <x v="228"/>
    <x v="0"/>
  </r>
  <r>
    <x v="0"/>
    <x v="21"/>
    <x v="21"/>
    <x v="58"/>
    <x v="58"/>
    <x v="58"/>
    <x v="16"/>
    <x v="152"/>
    <x v="213"/>
    <x v="120"/>
    <x v="211"/>
    <x v="95"/>
    <x v="228"/>
    <x v="0"/>
  </r>
  <r>
    <x v="0"/>
    <x v="21"/>
    <x v="21"/>
    <x v="28"/>
    <x v="28"/>
    <x v="28"/>
    <x v="16"/>
    <x v="152"/>
    <x v="213"/>
    <x v="120"/>
    <x v="211"/>
    <x v="95"/>
    <x v="228"/>
    <x v="0"/>
  </r>
  <r>
    <x v="0"/>
    <x v="21"/>
    <x v="21"/>
    <x v="14"/>
    <x v="14"/>
    <x v="14"/>
    <x v="16"/>
    <x v="152"/>
    <x v="213"/>
    <x v="72"/>
    <x v="130"/>
    <x v="98"/>
    <x v="168"/>
    <x v="0"/>
  </r>
  <r>
    <x v="0"/>
    <x v="21"/>
    <x v="21"/>
    <x v="27"/>
    <x v="27"/>
    <x v="27"/>
    <x v="16"/>
    <x v="152"/>
    <x v="213"/>
    <x v="72"/>
    <x v="130"/>
    <x v="98"/>
    <x v="168"/>
    <x v="0"/>
  </r>
  <r>
    <x v="0"/>
    <x v="21"/>
    <x v="21"/>
    <x v="59"/>
    <x v="59"/>
    <x v="59"/>
    <x v="16"/>
    <x v="152"/>
    <x v="213"/>
    <x v="72"/>
    <x v="130"/>
    <x v="98"/>
    <x v="168"/>
    <x v="0"/>
  </r>
  <r>
    <x v="0"/>
    <x v="21"/>
    <x v="21"/>
    <x v="60"/>
    <x v="60"/>
    <x v="60"/>
    <x v="16"/>
    <x v="152"/>
    <x v="213"/>
    <x v="120"/>
    <x v="211"/>
    <x v="95"/>
    <x v="228"/>
    <x v="0"/>
  </r>
  <r>
    <x v="0"/>
    <x v="21"/>
    <x v="21"/>
    <x v="61"/>
    <x v="61"/>
    <x v="61"/>
    <x v="16"/>
    <x v="152"/>
    <x v="213"/>
    <x v="120"/>
    <x v="211"/>
    <x v="95"/>
    <x v="228"/>
    <x v="0"/>
  </r>
  <r>
    <x v="0"/>
    <x v="21"/>
    <x v="21"/>
    <x v="62"/>
    <x v="62"/>
    <x v="62"/>
    <x v="16"/>
    <x v="152"/>
    <x v="213"/>
    <x v="120"/>
    <x v="211"/>
    <x v="95"/>
    <x v="228"/>
    <x v="0"/>
  </r>
  <r>
    <x v="0"/>
    <x v="21"/>
    <x v="21"/>
    <x v="63"/>
    <x v="63"/>
    <x v="63"/>
    <x v="16"/>
    <x v="152"/>
    <x v="213"/>
    <x v="120"/>
    <x v="211"/>
    <x v="95"/>
    <x v="228"/>
    <x v="0"/>
  </r>
  <r>
    <x v="0"/>
    <x v="21"/>
    <x v="21"/>
    <x v="64"/>
    <x v="64"/>
    <x v="64"/>
    <x v="16"/>
    <x v="152"/>
    <x v="213"/>
    <x v="120"/>
    <x v="211"/>
    <x v="95"/>
    <x v="228"/>
    <x v="0"/>
  </r>
  <r>
    <x v="0"/>
    <x v="21"/>
    <x v="21"/>
    <x v="65"/>
    <x v="65"/>
    <x v="65"/>
    <x v="16"/>
    <x v="152"/>
    <x v="213"/>
    <x v="120"/>
    <x v="211"/>
    <x v="98"/>
    <x v="168"/>
    <x v="0"/>
  </r>
  <r>
    <x v="0"/>
    <x v="21"/>
    <x v="21"/>
    <x v="66"/>
    <x v="66"/>
    <x v="66"/>
    <x v="16"/>
    <x v="152"/>
    <x v="213"/>
    <x v="120"/>
    <x v="211"/>
    <x v="95"/>
    <x v="228"/>
    <x v="0"/>
  </r>
  <r>
    <x v="0"/>
    <x v="21"/>
    <x v="21"/>
    <x v="67"/>
    <x v="67"/>
    <x v="67"/>
    <x v="16"/>
    <x v="152"/>
    <x v="213"/>
    <x v="120"/>
    <x v="211"/>
    <x v="95"/>
    <x v="228"/>
    <x v="0"/>
  </r>
  <r>
    <x v="0"/>
    <x v="21"/>
    <x v="21"/>
    <x v="29"/>
    <x v="29"/>
    <x v="29"/>
    <x v="16"/>
    <x v="152"/>
    <x v="213"/>
    <x v="120"/>
    <x v="211"/>
    <x v="95"/>
    <x v="228"/>
    <x v="0"/>
  </r>
  <r>
    <x v="0"/>
    <x v="21"/>
    <x v="21"/>
    <x v="30"/>
    <x v="30"/>
    <x v="30"/>
    <x v="16"/>
    <x v="152"/>
    <x v="213"/>
    <x v="120"/>
    <x v="211"/>
    <x v="95"/>
    <x v="228"/>
    <x v="0"/>
  </r>
  <r>
    <x v="0"/>
    <x v="21"/>
    <x v="21"/>
    <x v="68"/>
    <x v="68"/>
    <x v="68"/>
    <x v="16"/>
    <x v="152"/>
    <x v="213"/>
    <x v="72"/>
    <x v="130"/>
    <x v="98"/>
    <x v="168"/>
    <x v="0"/>
  </r>
  <r>
    <x v="0"/>
    <x v="21"/>
    <x v="21"/>
    <x v="69"/>
    <x v="69"/>
    <x v="69"/>
    <x v="16"/>
    <x v="152"/>
    <x v="213"/>
    <x v="72"/>
    <x v="130"/>
    <x v="98"/>
    <x v="168"/>
    <x v="0"/>
  </r>
  <r>
    <x v="0"/>
    <x v="21"/>
    <x v="21"/>
    <x v="38"/>
    <x v="38"/>
    <x v="38"/>
    <x v="16"/>
    <x v="152"/>
    <x v="213"/>
    <x v="72"/>
    <x v="130"/>
    <x v="98"/>
    <x v="168"/>
    <x v="0"/>
  </r>
  <r>
    <x v="0"/>
    <x v="21"/>
    <x v="21"/>
    <x v="32"/>
    <x v="32"/>
    <x v="32"/>
    <x v="16"/>
    <x v="152"/>
    <x v="213"/>
    <x v="120"/>
    <x v="211"/>
    <x v="95"/>
    <x v="228"/>
    <x v="0"/>
  </r>
  <r>
    <x v="0"/>
    <x v="21"/>
    <x v="21"/>
    <x v="70"/>
    <x v="70"/>
    <x v="70"/>
    <x v="16"/>
    <x v="152"/>
    <x v="213"/>
    <x v="72"/>
    <x v="130"/>
    <x v="98"/>
    <x v="168"/>
    <x v="0"/>
  </r>
  <r>
    <x v="0"/>
    <x v="21"/>
    <x v="21"/>
    <x v="71"/>
    <x v="71"/>
    <x v="71"/>
    <x v="16"/>
    <x v="152"/>
    <x v="213"/>
    <x v="120"/>
    <x v="211"/>
    <x v="95"/>
    <x v="228"/>
    <x v="0"/>
  </r>
  <r>
    <x v="0"/>
    <x v="21"/>
    <x v="21"/>
    <x v="72"/>
    <x v="72"/>
    <x v="72"/>
    <x v="16"/>
    <x v="152"/>
    <x v="213"/>
    <x v="120"/>
    <x v="211"/>
    <x v="95"/>
    <x v="228"/>
    <x v="0"/>
  </r>
  <r>
    <x v="0"/>
    <x v="21"/>
    <x v="21"/>
    <x v="10"/>
    <x v="10"/>
    <x v="10"/>
    <x v="16"/>
    <x v="152"/>
    <x v="213"/>
    <x v="72"/>
    <x v="130"/>
    <x v="98"/>
    <x v="168"/>
    <x v="0"/>
  </r>
  <r>
    <x v="0"/>
    <x v="21"/>
    <x v="21"/>
    <x v="20"/>
    <x v="20"/>
    <x v="20"/>
    <x v="16"/>
    <x v="152"/>
    <x v="213"/>
    <x v="120"/>
    <x v="211"/>
    <x v="95"/>
    <x v="228"/>
    <x v="0"/>
  </r>
  <r>
    <x v="0"/>
    <x v="21"/>
    <x v="21"/>
    <x v="73"/>
    <x v="73"/>
    <x v="73"/>
    <x v="16"/>
    <x v="152"/>
    <x v="213"/>
    <x v="120"/>
    <x v="211"/>
    <x v="95"/>
    <x v="228"/>
    <x v="0"/>
  </r>
  <r>
    <x v="0"/>
    <x v="21"/>
    <x v="21"/>
    <x v="74"/>
    <x v="74"/>
    <x v="74"/>
    <x v="16"/>
    <x v="152"/>
    <x v="213"/>
    <x v="72"/>
    <x v="130"/>
    <x v="98"/>
    <x v="168"/>
    <x v="0"/>
  </r>
  <r>
    <x v="0"/>
    <x v="21"/>
    <x v="21"/>
    <x v="75"/>
    <x v="75"/>
    <x v="75"/>
    <x v="16"/>
    <x v="152"/>
    <x v="213"/>
    <x v="72"/>
    <x v="130"/>
    <x v="98"/>
    <x v="168"/>
    <x v="0"/>
  </r>
  <r>
    <x v="0"/>
    <x v="21"/>
    <x v="21"/>
    <x v="15"/>
    <x v="15"/>
    <x v="15"/>
    <x v="16"/>
    <x v="152"/>
    <x v="213"/>
    <x v="120"/>
    <x v="211"/>
    <x v="95"/>
    <x v="228"/>
    <x v="0"/>
  </r>
  <r>
    <x v="0"/>
    <x v="21"/>
    <x v="21"/>
    <x v="34"/>
    <x v="34"/>
    <x v="34"/>
    <x v="16"/>
    <x v="152"/>
    <x v="213"/>
    <x v="72"/>
    <x v="130"/>
    <x v="98"/>
    <x v="168"/>
    <x v="0"/>
  </r>
  <r>
    <x v="0"/>
    <x v="21"/>
    <x v="21"/>
    <x v="5"/>
    <x v="5"/>
    <x v="5"/>
    <x v="16"/>
    <x v="152"/>
    <x v="213"/>
    <x v="72"/>
    <x v="130"/>
    <x v="98"/>
    <x v="168"/>
    <x v="0"/>
  </r>
  <r>
    <x v="0"/>
    <x v="21"/>
    <x v="21"/>
    <x v="76"/>
    <x v="76"/>
    <x v="76"/>
    <x v="16"/>
    <x v="152"/>
    <x v="213"/>
    <x v="72"/>
    <x v="130"/>
    <x v="98"/>
    <x v="168"/>
    <x v="0"/>
  </r>
  <r>
    <x v="0"/>
    <x v="21"/>
    <x v="21"/>
    <x v="9"/>
    <x v="9"/>
    <x v="9"/>
    <x v="16"/>
    <x v="152"/>
    <x v="213"/>
    <x v="72"/>
    <x v="130"/>
    <x v="98"/>
    <x v="168"/>
    <x v="0"/>
  </r>
  <r>
    <x v="0"/>
    <x v="21"/>
    <x v="21"/>
    <x v="25"/>
    <x v="25"/>
    <x v="25"/>
    <x v="16"/>
    <x v="152"/>
    <x v="213"/>
    <x v="72"/>
    <x v="130"/>
    <x v="98"/>
    <x v="168"/>
    <x v="0"/>
  </r>
  <r>
    <x v="0"/>
    <x v="21"/>
    <x v="21"/>
    <x v="37"/>
    <x v="37"/>
    <x v="37"/>
    <x v="16"/>
    <x v="152"/>
    <x v="213"/>
    <x v="72"/>
    <x v="130"/>
    <x v="98"/>
    <x v="168"/>
    <x v="0"/>
  </r>
  <r>
    <x v="0"/>
    <x v="21"/>
    <x v="21"/>
    <x v="11"/>
    <x v="11"/>
    <x v="11"/>
    <x v="16"/>
    <x v="152"/>
    <x v="213"/>
    <x v="72"/>
    <x v="130"/>
    <x v="98"/>
    <x v="168"/>
    <x v="0"/>
  </r>
  <r>
    <x v="0"/>
    <x v="21"/>
    <x v="21"/>
    <x v="77"/>
    <x v="77"/>
    <x v="77"/>
    <x v="16"/>
    <x v="152"/>
    <x v="213"/>
    <x v="120"/>
    <x v="211"/>
    <x v="95"/>
    <x v="228"/>
    <x v="0"/>
  </r>
  <r>
    <x v="0"/>
    <x v="22"/>
    <x v="22"/>
    <x v="0"/>
    <x v="0"/>
    <x v="0"/>
    <x v="0"/>
    <x v="128"/>
    <x v="214"/>
    <x v="88"/>
    <x v="282"/>
    <x v="98"/>
    <x v="168"/>
    <x v="0"/>
  </r>
  <r>
    <x v="0"/>
    <x v="22"/>
    <x v="22"/>
    <x v="7"/>
    <x v="7"/>
    <x v="7"/>
    <x v="1"/>
    <x v="129"/>
    <x v="138"/>
    <x v="67"/>
    <x v="283"/>
    <x v="53"/>
    <x v="229"/>
    <x v="3"/>
  </r>
  <r>
    <x v="0"/>
    <x v="22"/>
    <x v="22"/>
    <x v="3"/>
    <x v="3"/>
    <x v="3"/>
    <x v="2"/>
    <x v="130"/>
    <x v="99"/>
    <x v="72"/>
    <x v="38"/>
    <x v="77"/>
    <x v="230"/>
    <x v="0"/>
  </r>
  <r>
    <x v="0"/>
    <x v="22"/>
    <x v="22"/>
    <x v="13"/>
    <x v="13"/>
    <x v="13"/>
    <x v="3"/>
    <x v="153"/>
    <x v="215"/>
    <x v="55"/>
    <x v="7"/>
    <x v="94"/>
    <x v="58"/>
    <x v="0"/>
  </r>
  <r>
    <x v="0"/>
    <x v="22"/>
    <x v="22"/>
    <x v="78"/>
    <x v="78"/>
    <x v="78"/>
    <x v="4"/>
    <x v="146"/>
    <x v="78"/>
    <x v="67"/>
    <x v="283"/>
    <x v="98"/>
    <x v="168"/>
    <x v="0"/>
  </r>
  <r>
    <x v="0"/>
    <x v="22"/>
    <x v="22"/>
    <x v="33"/>
    <x v="33"/>
    <x v="33"/>
    <x v="4"/>
    <x v="146"/>
    <x v="78"/>
    <x v="72"/>
    <x v="38"/>
    <x v="82"/>
    <x v="231"/>
    <x v="0"/>
  </r>
  <r>
    <x v="0"/>
    <x v="22"/>
    <x v="22"/>
    <x v="8"/>
    <x v="8"/>
    <x v="8"/>
    <x v="4"/>
    <x v="146"/>
    <x v="78"/>
    <x v="67"/>
    <x v="283"/>
    <x v="98"/>
    <x v="168"/>
    <x v="0"/>
  </r>
  <r>
    <x v="0"/>
    <x v="22"/>
    <x v="22"/>
    <x v="6"/>
    <x v="6"/>
    <x v="6"/>
    <x v="7"/>
    <x v="147"/>
    <x v="5"/>
    <x v="68"/>
    <x v="136"/>
    <x v="98"/>
    <x v="168"/>
    <x v="0"/>
  </r>
  <r>
    <x v="0"/>
    <x v="22"/>
    <x v="22"/>
    <x v="12"/>
    <x v="12"/>
    <x v="12"/>
    <x v="7"/>
    <x v="147"/>
    <x v="5"/>
    <x v="78"/>
    <x v="284"/>
    <x v="95"/>
    <x v="232"/>
    <x v="0"/>
  </r>
  <r>
    <x v="0"/>
    <x v="22"/>
    <x v="22"/>
    <x v="39"/>
    <x v="39"/>
    <x v="39"/>
    <x v="9"/>
    <x v="148"/>
    <x v="23"/>
    <x v="80"/>
    <x v="285"/>
    <x v="53"/>
    <x v="229"/>
    <x v="0"/>
  </r>
  <r>
    <x v="0"/>
    <x v="22"/>
    <x v="22"/>
    <x v="32"/>
    <x v="32"/>
    <x v="32"/>
    <x v="9"/>
    <x v="148"/>
    <x v="23"/>
    <x v="78"/>
    <x v="284"/>
    <x v="98"/>
    <x v="168"/>
    <x v="0"/>
  </r>
  <r>
    <x v="0"/>
    <x v="22"/>
    <x v="22"/>
    <x v="71"/>
    <x v="71"/>
    <x v="71"/>
    <x v="9"/>
    <x v="148"/>
    <x v="23"/>
    <x v="55"/>
    <x v="7"/>
    <x v="95"/>
    <x v="232"/>
    <x v="0"/>
  </r>
  <r>
    <x v="0"/>
    <x v="22"/>
    <x v="22"/>
    <x v="34"/>
    <x v="34"/>
    <x v="34"/>
    <x v="9"/>
    <x v="148"/>
    <x v="23"/>
    <x v="78"/>
    <x v="284"/>
    <x v="98"/>
    <x v="168"/>
    <x v="0"/>
  </r>
  <r>
    <x v="0"/>
    <x v="22"/>
    <x v="22"/>
    <x v="49"/>
    <x v="49"/>
    <x v="49"/>
    <x v="13"/>
    <x v="149"/>
    <x v="164"/>
    <x v="55"/>
    <x v="7"/>
    <x v="98"/>
    <x v="168"/>
    <x v="0"/>
  </r>
  <r>
    <x v="0"/>
    <x v="22"/>
    <x v="22"/>
    <x v="28"/>
    <x v="28"/>
    <x v="28"/>
    <x v="13"/>
    <x v="149"/>
    <x v="164"/>
    <x v="55"/>
    <x v="7"/>
    <x v="98"/>
    <x v="168"/>
    <x v="0"/>
  </r>
  <r>
    <x v="0"/>
    <x v="22"/>
    <x v="22"/>
    <x v="79"/>
    <x v="79"/>
    <x v="79"/>
    <x v="13"/>
    <x v="149"/>
    <x v="164"/>
    <x v="115"/>
    <x v="286"/>
    <x v="53"/>
    <x v="229"/>
    <x v="0"/>
  </r>
  <r>
    <x v="0"/>
    <x v="22"/>
    <x v="22"/>
    <x v="10"/>
    <x v="10"/>
    <x v="10"/>
    <x v="13"/>
    <x v="149"/>
    <x v="164"/>
    <x v="55"/>
    <x v="7"/>
    <x v="98"/>
    <x v="168"/>
    <x v="0"/>
  </r>
  <r>
    <x v="0"/>
    <x v="22"/>
    <x v="22"/>
    <x v="1"/>
    <x v="1"/>
    <x v="1"/>
    <x v="13"/>
    <x v="149"/>
    <x v="164"/>
    <x v="80"/>
    <x v="285"/>
    <x v="95"/>
    <x v="232"/>
    <x v="0"/>
  </r>
  <r>
    <x v="0"/>
    <x v="22"/>
    <x v="22"/>
    <x v="17"/>
    <x v="17"/>
    <x v="17"/>
    <x v="17"/>
    <x v="150"/>
    <x v="216"/>
    <x v="115"/>
    <x v="286"/>
    <x v="95"/>
    <x v="232"/>
    <x v="0"/>
  </r>
  <r>
    <x v="0"/>
    <x v="22"/>
    <x v="22"/>
    <x v="57"/>
    <x v="57"/>
    <x v="57"/>
    <x v="17"/>
    <x v="150"/>
    <x v="216"/>
    <x v="115"/>
    <x v="286"/>
    <x v="95"/>
    <x v="232"/>
    <x v="0"/>
  </r>
  <r>
    <x v="0"/>
    <x v="22"/>
    <x v="22"/>
    <x v="80"/>
    <x v="80"/>
    <x v="80"/>
    <x v="17"/>
    <x v="150"/>
    <x v="216"/>
    <x v="80"/>
    <x v="285"/>
    <x v="98"/>
    <x v="168"/>
    <x v="0"/>
  </r>
  <r>
    <x v="0"/>
    <x v="22"/>
    <x v="22"/>
    <x v="64"/>
    <x v="64"/>
    <x v="64"/>
    <x v="17"/>
    <x v="150"/>
    <x v="216"/>
    <x v="120"/>
    <x v="211"/>
    <x v="70"/>
    <x v="165"/>
    <x v="0"/>
  </r>
  <r>
    <x v="0"/>
    <x v="22"/>
    <x v="22"/>
    <x v="68"/>
    <x v="68"/>
    <x v="68"/>
    <x v="17"/>
    <x v="150"/>
    <x v="216"/>
    <x v="120"/>
    <x v="211"/>
    <x v="70"/>
    <x v="165"/>
    <x v="0"/>
  </r>
  <r>
    <x v="0"/>
    <x v="22"/>
    <x v="22"/>
    <x v="70"/>
    <x v="70"/>
    <x v="70"/>
    <x v="17"/>
    <x v="150"/>
    <x v="216"/>
    <x v="115"/>
    <x v="286"/>
    <x v="95"/>
    <x v="232"/>
    <x v="0"/>
  </r>
  <r>
    <x v="0"/>
    <x v="22"/>
    <x v="22"/>
    <x v="16"/>
    <x v="16"/>
    <x v="16"/>
    <x v="17"/>
    <x v="150"/>
    <x v="216"/>
    <x v="72"/>
    <x v="38"/>
    <x v="53"/>
    <x v="229"/>
    <x v="0"/>
  </r>
  <r>
    <x v="0"/>
    <x v="22"/>
    <x v="22"/>
    <x v="76"/>
    <x v="76"/>
    <x v="76"/>
    <x v="17"/>
    <x v="150"/>
    <x v="216"/>
    <x v="115"/>
    <x v="286"/>
    <x v="95"/>
    <x v="232"/>
    <x v="0"/>
  </r>
  <r>
    <x v="0"/>
    <x v="22"/>
    <x v="22"/>
    <x v="2"/>
    <x v="2"/>
    <x v="2"/>
    <x v="17"/>
    <x v="150"/>
    <x v="216"/>
    <x v="80"/>
    <x v="285"/>
    <x v="98"/>
    <x v="168"/>
    <x v="0"/>
  </r>
  <r>
    <x v="0"/>
    <x v="22"/>
    <x v="22"/>
    <x v="37"/>
    <x v="37"/>
    <x v="37"/>
    <x v="17"/>
    <x v="150"/>
    <x v="216"/>
    <x v="80"/>
    <x v="285"/>
    <x v="98"/>
    <x v="168"/>
    <x v="0"/>
  </r>
  <r>
    <x v="0"/>
    <x v="23"/>
    <x v="23"/>
    <x v="0"/>
    <x v="0"/>
    <x v="0"/>
    <x v="0"/>
    <x v="87"/>
    <x v="217"/>
    <x v="46"/>
    <x v="287"/>
    <x v="95"/>
    <x v="38"/>
    <x v="0"/>
  </r>
  <r>
    <x v="0"/>
    <x v="23"/>
    <x v="23"/>
    <x v="5"/>
    <x v="5"/>
    <x v="5"/>
    <x v="1"/>
    <x v="128"/>
    <x v="218"/>
    <x v="70"/>
    <x v="239"/>
    <x v="95"/>
    <x v="38"/>
    <x v="0"/>
  </r>
  <r>
    <x v="0"/>
    <x v="23"/>
    <x v="23"/>
    <x v="7"/>
    <x v="7"/>
    <x v="7"/>
    <x v="2"/>
    <x v="129"/>
    <x v="219"/>
    <x v="67"/>
    <x v="288"/>
    <x v="70"/>
    <x v="97"/>
    <x v="0"/>
  </r>
  <r>
    <x v="0"/>
    <x v="23"/>
    <x v="23"/>
    <x v="3"/>
    <x v="3"/>
    <x v="3"/>
    <x v="3"/>
    <x v="130"/>
    <x v="220"/>
    <x v="115"/>
    <x v="237"/>
    <x v="48"/>
    <x v="233"/>
    <x v="0"/>
  </r>
  <r>
    <x v="0"/>
    <x v="23"/>
    <x v="23"/>
    <x v="14"/>
    <x v="14"/>
    <x v="14"/>
    <x v="3"/>
    <x v="130"/>
    <x v="220"/>
    <x v="80"/>
    <x v="221"/>
    <x v="82"/>
    <x v="234"/>
    <x v="0"/>
  </r>
  <r>
    <x v="0"/>
    <x v="23"/>
    <x v="23"/>
    <x v="6"/>
    <x v="6"/>
    <x v="6"/>
    <x v="3"/>
    <x v="130"/>
    <x v="220"/>
    <x v="78"/>
    <x v="11"/>
    <x v="94"/>
    <x v="235"/>
    <x v="0"/>
  </r>
  <r>
    <x v="0"/>
    <x v="23"/>
    <x v="23"/>
    <x v="1"/>
    <x v="1"/>
    <x v="1"/>
    <x v="3"/>
    <x v="130"/>
    <x v="220"/>
    <x v="74"/>
    <x v="106"/>
    <x v="95"/>
    <x v="38"/>
    <x v="0"/>
  </r>
  <r>
    <x v="0"/>
    <x v="23"/>
    <x v="23"/>
    <x v="2"/>
    <x v="2"/>
    <x v="2"/>
    <x v="3"/>
    <x v="130"/>
    <x v="220"/>
    <x v="86"/>
    <x v="289"/>
    <x v="98"/>
    <x v="168"/>
    <x v="0"/>
  </r>
  <r>
    <x v="0"/>
    <x v="23"/>
    <x v="23"/>
    <x v="11"/>
    <x v="11"/>
    <x v="11"/>
    <x v="8"/>
    <x v="146"/>
    <x v="221"/>
    <x v="78"/>
    <x v="11"/>
    <x v="53"/>
    <x v="236"/>
    <x v="0"/>
  </r>
  <r>
    <x v="0"/>
    <x v="23"/>
    <x v="23"/>
    <x v="40"/>
    <x v="40"/>
    <x v="40"/>
    <x v="9"/>
    <x v="147"/>
    <x v="222"/>
    <x v="80"/>
    <x v="221"/>
    <x v="70"/>
    <x v="97"/>
    <x v="0"/>
  </r>
  <r>
    <x v="0"/>
    <x v="23"/>
    <x v="23"/>
    <x v="27"/>
    <x v="27"/>
    <x v="27"/>
    <x v="9"/>
    <x v="147"/>
    <x v="222"/>
    <x v="115"/>
    <x v="237"/>
    <x v="94"/>
    <x v="235"/>
    <x v="0"/>
  </r>
  <r>
    <x v="0"/>
    <x v="23"/>
    <x v="23"/>
    <x v="33"/>
    <x v="33"/>
    <x v="33"/>
    <x v="9"/>
    <x v="147"/>
    <x v="222"/>
    <x v="72"/>
    <x v="99"/>
    <x v="80"/>
    <x v="237"/>
    <x v="0"/>
  </r>
  <r>
    <x v="0"/>
    <x v="23"/>
    <x v="23"/>
    <x v="10"/>
    <x v="10"/>
    <x v="10"/>
    <x v="12"/>
    <x v="148"/>
    <x v="182"/>
    <x v="55"/>
    <x v="164"/>
    <x v="95"/>
    <x v="38"/>
    <x v="0"/>
  </r>
  <r>
    <x v="0"/>
    <x v="23"/>
    <x v="23"/>
    <x v="20"/>
    <x v="20"/>
    <x v="20"/>
    <x v="12"/>
    <x v="148"/>
    <x v="182"/>
    <x v="78"/>
    <x v="11"/>
    <x v="98"/>
    <x v="168"/>
    <x v="0"/>
  </r>
  <r>
    <x v="0"/>
    <x v="23"/>
    <x v="23"/>
    <x v="17"/>
    <x v="17"/>
    <x v="17"/>
    <x v="19"/>
    <x v="149"/>
    <x v="152"/>
    <x v="72"/>
    <x v="99"/>
    <x v="70"/>
    <x v="97"/>
    <x v="0"/>
  </r>
  <r>
    <x v="0"/>
    <x v="23"/>
    <x v="23"/>
    <x v="13"/>
    <x v="13"/>
    <x v="13"/>
    <x v="19"/>
    <x v="149"/>
    <x v="152"/>
    <x v="72"/>
    <x v="99"/>
    <x v="70"/>
    <x v="97"/>
    <x v="0"/>
  </r>
  <r>
    <x v="0"/>
    <x v="23"/>
    <x v="23"/>
    <x v="57"/>
    <x v="57"/>
    <x v="57"/>
    <x v="19"/>
    <x v="149"/>
    <x v="152"/>
    <x v="120"/>
    <x v="211"/>
    <x v="94"/>
    <x v="235"/>
    <x v="0"/>
  </r>
  <r>
    <x v="0"/>
    <x v="23"/>
    <x v="23"/>
    <x v="64"/>
    <x v="64"/>
    <x v="64"/>
    <x v="19"/>
    <x v="149"/>
    <x v="152"/>
    <x v="120"/>
    <x v="211"/>
    <x v="94"/>
    <x v="235"/>
    <x v="0"/>
  </r>
  <r>
    <x v="0"/>
    <x v="23"/>
    <x v="23"/>
    <x v="31"/>
    <x v="31"/>
    <x v="31"/>
    <x v="19"/>
    <x v="149"/>
    <x v="152"/>
    <x v="80"/>
    <x v="221"/>
    <x v="95"/>
    <x v="38"/>
    <x v="0"/>
  </r>
  <r>
    <x v="0"/>
    <x v="23"/>
    <x v="23"/>
    <x v="32"/>
    <x v="32"/>
    <x v="32"/>
    <x v="19"/>
    <x v="149"/>
    <x v="152"/>
    <x v="80"/>
    <x v="221"/>
    <x v="95"/>
    <x v="38"/>
    <x v="0"/>
  </r>
  <r>
    <x v="0"/>
    <x v="23"/>
    <x v="23"/>
    <x v="53"/>
    <x v="53"/>
    <x v="53"/>
    <x v="19"/>
    <x v="149"/>
    <x v="152"/>
    <x v="55"/>
    <x v="164"/>
    <x v="98"/>
    <x v="168"/>
    <x v="0"/>
  </r>
  <r>
    <x v="0"/>
    <x v="23"/>
    <x v="23"/>
    <x v="8"/>
    <x v="8"/>
    <x v="8"/>
    <x v="19"/>
    <x v="149"/>
    <x v="152"/>
    <x v="55"/>
    <x v="164"/>
    <x v="98"/>
    <x v="168"/>
    <x v="0"/>
  </r>
  <r>
    <x v="0"/>
    <x v="23"/>
    <x v="23"/>
    <x v="81"/>
    <x v="81"/>
    <x v="81"/>
    <x v="19"/>
    <x v="149"/>
    <x v="152"/>
    <x v="120"/>
    <x v="211"/>
    <x v="98"/>
    <x v="168"/>
    <x v="0"/>
  </r>
  <r>
    <x v="0"/>
    <x v="23"/>
    <x v="23"/>
    <x v="12"/>
    <x v="12"/>
    <x v="12"/>
    <x v="19"/>
    <x v="149"/>
    <x v="152"/>
    <x v="55"/>
    <x v="164"/>
    <x v="98"/>
    <x v="168"/>
    <x v="0"/>
  </r>
  <r>
    <x v="0"/>
    <x v="24"/>
    <x v="24"/>
    <x v="12"/>
    <x v="12"/>
    <x v="12"/>
    <x v="0"/>
    <x v="87"/>
    <x v="223"/>
    <x v="79"/>
    <x v="290"/>
    <x v="53"/>
    <x v="238"/>
    <x v="0"/>
  </r>
  <r>
    <x v="0"/>
    <x v="24"/>
    <x v="24"/>
    <x v="7"/>
    <x v="7"/>
    <x v="7"/>
    <x v="1"/>
    <x v="122"/>
    <x v="97"/>
    <x v="45"/>
    <x v="291"/>
    <x v="95"/>
    <x v="239"/>
    <x v="0"/>
  </r>
  <r>
    <x v="0"/>
    <x v="24"/>
    <x v="24"/>
    <x v="0"/>
    <x v="0"/>
    <x v="0"/>
    <x v="2"/>
    <x v="129"/>
    <x v="206"/>
    <x v="70"/>
    <x v="292"/>
    <x v="98"/>
    <x v="168"/>
    <x v="0"/>
  </r>
  <r>
    <x v="0"/>
    <x v="24"/>
    <x v="24"/>
    <x v="3"/>
    <x v="3"/>
    <x v="3"/>
    <x v="3"/>
    <x v="130"/>
    <x v="224"/>
    <x v="55"/>
    <x v="293"/>
    <x v="80"/>
    <x v="240"/>
    <x v="0"/>
  </r>
  <r>
    <x v="0"/>
    <x v="24"/>
    <x v="24"/>
    <x v="13"/>
    <x v="13"/>
    <x v="13"/>
    <x v="3"/>
    <x v="130"/>
    <x v="224"/>
    <x v="67"/>
    <x v="294"/>
    <x v="53"/>
    <x v="238"/>
    <x v="0"/>
  </r>
  <r>
    <x v="0"/>
    <x v="24"/>
    <x v="24"/>
    <x v="33"/>
    <x v="33"/>
    <x v="33"/>
    <x v="3"/>
    <x v="130"/>
    <x v="224"/>
    <x v="120"/>
    <x v="211"/>
    <x v="78"/>
    <x v="241"/>
    <x v="0"/>
  </r>
  <r>
    <x v="0"/>
    <x v="24"/>
    <x v="24"/>
    <x v="14"/>
    <x v="14"/>
    <x v="14"/>
    <x v="6"/>
    <x v="153"/>
    <x v="225"/>
    <x v="67"/>
    <x v="294"/>
    <x v="95"/>
    <x v="239"/>
    <x v="0"/>
  </r>
  <r>
    <x v="0"/>
    <x v="24"/>
    <x v="24"/>
    <x v="6"/>
    <x v="6"/>
    <x v="6"/>
    <x v="6"/>
    <x v="153"/>
    <x v="225"/>
    <x v="68"/>
    <x v="278"/>
    <x v="53"/>
    <x v="238"/>
    <x v="0"/>
  </r>
  <r>
    <x v="0"/>
    <x v="24"/>
    <x v="24"/>
    <x v="11"/>
    <x v="11"/>
    <x v="11"/>
    <x v="6"/>
    <x v="153"/>
    <x v="225"/>
    <x v="74"/>
    <x v="295"/>
    <x v="98"/>
    <x v="168"/>
    <x v="0"/>
  </r>
  <r>
    <x v="0"/>
    <x v="24"/>
    <x v="24"/>
    <x v="5"/>
    <x v="5"/>
    <x v="5"/>
    <x v="9"/>
    <x v="146"/>
    <x v="226"/>
    <x v="78"/>
    <x v="296"/>
    <x v="53"/>
    <x v="238"/>
    <x v="0"/>
  </r>
  <r>
    <x v="0"/>
    <x v="24"/>
    <x v="24"/>
    <x v="2"/>
    <x v="2"/>
    <x v="2"/>
    <x v="10"/>
    <x v="147"/>
    <x v="221"/>
    <x v="68"/>
    <x v="278"/>
    <x v="98"/>
    <x v="168"/>
    <x v="0"/>
  </r>
  <r>
    <x v="0"/>
    <x v="24"/>
    <x v="24"/>
    <x v="17"/>
    <x v="17"/>
    <x v="17"/>
    <x v="11"/>
    <x v="149"/>
    <x v="197"/>
    <x v="115"/>
    <x v="59"/>
    <x v="53"/>
    <x v="238"/>
    <x v="0"/>
  </r>
  <r>
    <x v="0"/>
    <x v="24"/>
    <x v="24"/>
    <x v="49"/>
    <x v="49"/>
    <x v="49"/>
    <x v="11"/>
    <x v="149"/>
    <x v="197"/>
    <x v="80"/>
    <x v="130"/>
    <x v="95"/>
    <x v="239"/>
    <x v="0"/>
  </r>
  <r>
    <x v="0"/>
    <x v="24"/>
    <x v="24"/>
    <x v="78"/>
    <x v="78"/>
    <x v="78"/>
    <x v="11"/>
    <x v="149"/>
    <x v="197"/>
    <x v="80"/>
    <x v="130"/>
    <x v="95"/>
    <x v="239"/>
    <x v="0"/>
  </r>
  <r>
    <x v="0"/>
    <x v="24"/>
    <x v="24"/>
    <x v="38"/>
    <x v="38"/>
    <x v="38"/>
    <x v="11"/>
    <x v="149"/>
    <x v="197"/>
    <x v="55"/>
    <x v="293"/>
    <x v="98"/>
    <x v="168"/>
    <x v="0"/>
  </r>
  <r>
    <x v="0"/>
    <x v="24"/>
    <x v="24"/>
    <x v="16"/>
    <x v="16"/>
    <x v="16"/>
    <x v="11"/>
    <x v="149"/>
    <x v="197"/>
    <x v="55"/>
    <x v="293"/>
    <x v="98"/>
    <x v="168"/>
    <x v="0"/>
  </r>
  <r>
    <x v="0"/>
    <x v="24"/>
    <x v="24"/>
    <x v="8"/>
    <x v="8"/>
    <x v="8"/>
    <x v="11"/>
    <x v="149"/>
    <x v="197"/>
    <x v="55"/>
    <x v="293"/>
    <x v="98"/>
    <x v="168"/>
    <x v="0"/>
  </r>
  <r>
    <x v="0"/>
    <x v="24"/>
    <x v="24"/>
    <x v="27"/>
    <x v="27"/>
    <x v="27"/>
    <x v="16"/>
    <x v="150"/>
    <x v="45"/>
    <x v="115"/>
    <x v="59"/>
    <x v="95"/>
    <x v="239"/>
    <x v="0"/>
  </r>
  <r>
    <x v="0"/>
    <x v="24"/>
    <x v="24"/>
    <x v="51"/>
    <x v="51"/>
    <x v="51"/>
    <x v="16"/>
    <x v="150"/>
    <x v="45"/>
    <x v="115"/>
    <x v="59"/>
    <x v="95"/>
    <x v="239"/>
    <x v="0"/>
  </r>
  <r>
    <x v="0"/>
    <x v="24"/>
    <x v="24"/>
    <x v="82"/>
    <x v="82"/>
    <x v="82"/>
    <x v="16"/>
    <x v="150"/>
    <x v="45"/>
    <x v="120"/>
    <x v="211"/>
    <x v="70"/>
    <x v="242"/>
    <x v="0"/>
  </r>
  <r>
    <x v="0"/>
    <x v="24"/>
    <x v="24"/>
    <x v="83"/>
    <x v="83"/>
    <x v="83"/>
    <x v="16"/>
    <x v="150"/>
    <x v="45"/>
    <x v="72"/>
    <x v="99"/>
    <x v="53"/>
    <x v="238"/>
    <x v="0"/>
  </r>
  <r>
    <x v="0"/>
    <x v="24"/>
    <x v="24"/>
    <x v="31"/>
    <x v="31"/>
    <x v="31"/>
    <x v="16"/>
    <x v="150"/>
    <x v="45"/>
    <x v="80"/>
    <x v="130"/>
    <x v="98"/>
    <x v="168"/>
    <x v="0"/>
  </r>
  <r>
    <x v="0"/>
    <x v="24"/>
    <x v="24"/>
    <x v="70"/>
    <x v="70"/>
    <x v="70"/>
    <x v="16"/>
    <x v="150"/>
    <x v="45"/>
    <x v="80"/>
    <x v="130"/>
    <x v="98"/>
    <x v="168"/>
    <x v="0"/>
  </r>
  <r>
    <x v="0"/>
    <x v="24"/>
    <x v="24"/>
    <x v="10"/>
    <x v="10"/>
    <x v="10"/>
    <x v="16"/>
    <x v="150"/>
    <x v="45"/>
    <x v="115"/>
    <x v="59"/>
    <x v="95"/>
    <x v="239"/>
    <x v="0"/>
  </r>
  <r>
    <x v="0"/>
    <x v="24"/>
    <x v="24"/>
    <x v="1"/>
    <x v="1"/>
    <x v="1"/>
    <x v="16"/>
    <x v="150"/>
    <x v="45"/>
    <x v="80"/>
    <x v="130"/>
    <x v="98"/>
    <x v="168"/>
    <x v="0"/>
  </r>
  <r>
    <x v="0"/>
    <x v="24"/>
    <x v="24"/>
    <x v="24"/>
    <x v="24"/>
    <x v="24"/>
    <x v="16"/>
    <x v="150"/>
    <x v="45"/>
    <x v="80"/>
    <x v="130"/>
    <x v="98"/>
    <x v="168"/>
    <x v="0"/>
  </r>
  <r>
    <x v="0"/>
    <x v="24"/>
    <x v="24"/>
    <x v="45"/>
    <x v="45"/>
    <x v="45"/>
    <x v="16"/>
    <x v="150"/>
    <x v="45"/>
    <x v="120"/>
    <x v="211"/>
    <x v="70"/>
    <x v="242"/>
    <x v="0"/>
  </r>
  <r>
    <x v="0"/>
    <x v="25"/>
    <x v="25"/>
    <x v="0"/>
    <x v="0"/>
    <x v="0"/>
    <x v="0"/>
    <x v="123"/>
    <x v="227"/>
    <x v="77"/>
    <x v="297"/>
    <x v="80"/>
    <x v="142"/>
    <x v="0"/>
  </r>
  <r>
    <x v="0"/>
    <x v="25"/>
    <x v="25"/>
    <x v="1"/>
    <x v="1"/>
    <x v="1"/>
    <x v="1"/>
    <x v="127"/>
    <x v="228"/>
    <x v="88"/>
    <x v="298"/>
    <x v="76"/>
    <x v="243"/>
    <x v="0"/>
  </r>
  <r>
    <x v="0"/>
    <x v="25"/>
    <x v="25"/>
    <x v="2"/>
    <x v="2"/>
    <x v="2"/>
    <x v="2"/>
    <x v="86"/>
    <x v="148"/>
    <x v="62"/>
    <x v="299"/>
    <x v="95"/>
    <x v="244"/>
    <x v="0"/>
  </r>
  <r>
    <x v="0"/>
    <x v="25"/>
    <x v="25"/>
    <x v="6"/>
    <x v="6"/>
    <x v="6"/>
    <x v="3"/>
    <x v="138"/>
    <x v="67"/>
    <x v="69"/>
    <x v="300"/>
    <x v="82"/>
    <x v="158"/>
    <x v="0"/>
  </r>
  <r>
    <x v="0"/>
    <x v="25"/>
    <x v="25"/>
    <x v="3"/>
    <x v="3"/>
    <x v="3"/>
    <x v="4"/>
    <x v="120"/>
    <x v="89"/>
    <x v="72"/>
    <x v="301"/>
    <x v="50"/>
    <x v="186"/>
    <x v="0"/>
  </r>
  <r>
    <x v="0"/>
    <x v="25"/>
    <x v="25"/>
    <x v="11"/>
    <x v="11"/>
    <x v="11"/>
    <x v="4"/>
    <x v="120"/>
    <x v="89"/>
    <x v="45"/>
    <x v="302"/>
    <x v="94"/>
    <x v="245"/>
    <x v="0"/>
  </r>
  <r>
    <x v="0"/>
    <x v="25"/>
    <x v="25"/>
    <x v="7"/>
    <x v="7"/>
    <x v="7"/>
    <x v="6"/>
    <x v="122"/>
    <x v="6"/>
    <x v="67"/>
    <x v="303"/>
    <x v="48"/>
    <x v="246"/>
    <x v="0"/>
  </r>
  <r>
    <x v="0"/>
    <x v="25"/>
    <x v="25"/>
    <x v="9"/>
    <x v="9"/>
    <x v="9"/>
    <x v="6"/>
    <x v="122"/>
    <x v="6"/>
    <x v="86"/>
    <x v="1"/>
    <x v="80"/>
    <x v="142"/>
    <x v="0"/>
  </r>
  <r>
    <x v="0"/>
    <x v="25"/>
    <x v="25"/>
    <x v="12"/>
    <x v="12"/>
    <x v="12"/>
    <x v="6"/>
    <x v="122"/>
    <x v="6"/>
    <x v="70"/>
    <x v="173"/>
    <x v="94"/>
    <x v="245"/>
    <x v="0"/>
  </r>
  <r>
    <x v="0"/>
    <x v="25"/>
    <x v="25"/>
    <x v="4"/>
    <x v="4"/>
    <x v="4"/>
    <x v="9"/>
    <x v="124"/>
    <x v="22"/>
    <x v="88"/>
    <x v="298"/>
    <x v="53"/>
    <x v="28"/>
    <x v="0"/>
  </r>
  <r>
    <x v="0"/>
    <x v="25"/>
    <x v="25"/>
    <x v="5"/>
    <x v="5"/>
    <x v="5"/>
    <x v="10"/>
    <x v="125"/>
    <x v="229"/>
    <x v="67"/>
    <x v="303"/>
    <x v="80"/>
    <x v="142"/>
    <x v="0"/>
  </r>
  <r>
    <x v="0"/>
    <x v="25"/>
    <x v="25"/>
    <x v="17"/>
    <x v="17"/>
    <x v="17"/>
    <x v="11"/>
    <x v="129"/>
    <x v="28"/>
    <x v="120"/>
    <x v="211"/>
    <x v="92"/>
    <x v="132"/>
    <x v="0"/>
  </r>
  <r>
    <x v="0"/>
    <x v="25"/>
    <x v="25"/>
    <x v="31"/>
    <x v="31"/>
    <x v="31"/>
    <x v="11"/>
    <x v="129"/>
    <x v="28"/>
    <x v="67"/>
    <x v="303"/>
    <x v="70"/>
    <x v="151"/>
    <x v="0"/>
  </r>
  <r>
    <x v="0"/>
    <x v="25"/>
    <x v="25"/>
    <x v="10"/>
    <x v="10"/>
    <x v="10"/>
    <x v="11"/>
    <x v="129"/>
    <x v="28"/>
    <x v="67"/>
    <x v="303"/>
    <x v="70"/>
    <x v="151"/>
    <x v="0"/>
  </r>
  <r>
    <x v="0"/>
    <x v="25"/>
    <x v="25"/>
    <x v="15"/>
    <x v="15"/>
    <x v="15"/>
    <x v="11"/>
    <x v="129"/>
    <x v="28"/>
    <x v="120"/>
    <x v="211"/>
    <x v="92"/>
    <x v="132"/>
    <x v="0"/>
  </r>
  <r>
    <x v="0"/>
    <x v="25"/>
    <x v="25"/>
    <x v="27"/>
    <x v="27"/>
    <x v="27"/>
    <x v="14"/>
    <x v="130"/>
    <x v="31"/>
    <x v="80"/>
    <x v="304"/>
    <x v="82"/>
    <x v="158"/>
    <x v="0"/>
  </r>
  <r>
    <x v="0"/>
    <x v="25"/>
    <x v="25"/>
    <x v="33"/>
    <x v="33"/>
    <x v="33"/>
    <x v="14"/>
    <x v="130"/>
    <x v="31"/>
    <x v="115"/>
    <x v="192"/>
    <x v="48"/>
    <x v="246"/>
    <x v="0"/>
  </r>
  <r>
    <x v="0"/>
    <x v="25"/>
    <x v="25"/>
    <x v="25"/>
    <x v="25"/>
    <x v="25"/>
    <x v="16"/>
    <x v="153"/>
    <x v="230"/>
    <x v="78"/>
    <x v="236"/>
    <x v="70"/>
    <x v="151"/>
    <x v="0"/>
  </r>
  <r>
    <x v="0"/>
    <x v="25"/>
    <x v="25"/>
    <x v="8"/>
    <x v="8"/>
    <x v="8"/>
    <x v="16"/>
    <x v="153"/>
    <x v="230"/>
    <x v="67"/>
    <x v="303"/>
    <x v="95"/>
    <x v="244"/>
    <x v="0"/>
  </r>
  <r>
    <x v="0"/>
    <x v="25"/>
    <x v="25"/>
    <x v="14"/>
    <x v="14"/>
    <x v="14"/>
    <x v="18"/>
    <x v="146"/>
    <x v="46"/>
    <x v="80"/>
    <x v="304"/>
    <x v="94"/>
    <x v="245"/>
    <x v="0"/>
  </r>
  <r>
    <x v="0"/>
    <x v="25"/>
    <x v="25"/>
    <x v="16"/>
    <x v="16"/>
    <x v="16"/>
    <x v="18"/>
    <x v="146"/>
    <x v="46"/>
    <x v="80"/>
    <x v="304"/>
    <x v="94"/>
    <x v="245"/>
    <x v="0"/>
  </r>
  <r>
    <x v="0"/>
    <x v="25"/>
    <x v="25"/>
    <x v="34"/>
    <x v="34"/>
    <x v="34"/>
    <x v="18"/>
    <x v="146"/>
    <x v="46"/>
    <x v="80"/>
    <x v="304"/>
    <x v="94"/>
    <x v="245"/>
    <x v="0"/>
  </r>
  <r>
    <x v="0"/>
    <x v="25"/>
    <x v="25"/>
    <x v="37"/>
    <x v="37"/>
    <x v="37"/>
    <x v="18"/>
    <x v="146"/>
    <x v="46"/>
    <x v="78"/>
    <x v="236"/>
    <x v="53"/>
    <x v="28"/>
    <x v="0"/>
  </r>
  <r>
    <x v="0"/>
    <x v="26"/>
    <x v="26"/>
    <x v="0"/>
    <x v="0"/>
    <x v="0"/>
    <x v="0"/>
    <x v="77"/>
    <x v="231"/>
    <x v="56"/>
    <x v="305"/>
    <x v="82"/>
    <x v="92"/>
    <x v="0"/>
  </r>
  <r>
    <x v="0"/>
    <x v="26"/>
    <x v="26"/>
    <x v="6"/>
    <x v="6"/>
    <x v="6"/>
    <x v="1"/>
    <x v="81"/>
    <x v="232"/>
    <x v="105"/>
    <x v="295"/>
    <x v="60"/>
    <x v="247"/>
    <x v="0"/>
  </r>
  <r>
    <x v="0"/>
    <x v="26"/>
    <x v="26"/>
    <x v="8"/>
    <x v="8"/>
    <x v="8"/>
    <x v="2"/>
    <x v="118"/>
    <x v="175"/>
    <x v="87"/>
    <x v="306"/>
    <x v="94"/>
    <x v="248"/>
    <x v="0"/>
  </r>
  <r>
    <x v="0"/>
    <x v="26"/>
    <x v="26"/>
    <x v="2"/>
    <x v="2"/>
    <x v="2"/>
    <x v="3"/>
    <x v="119"/>
    <x v="78"/>
    <x v="46"/>
    <x v="307"/>
    <x v="80"/>
    <x v="51"/>
    <x v="0"/>
  </r>
  <r>
    <x v="0"/>
    <x v="26"/>
    <x v="26"/>
    <x v="11"/>
    <x v="11"/>
    <x v="11"/>
    <x v="4"/>
    <x v="86"/>
    <x v="171"/>
    <x v="45"/>
    <x v="25"/>
    <x v="48"/>
    <x v="249"/>
    <x v="0"/>
  </r>
  <r>
    <x v="0"/>
    <x v="26"/>
    <x v="26"/>
    <x v="19"/>
    <x v="19"/>
    <x v="19"/>
    <x v="5"/>
    <x v="87"/>
    <x v="193"/>
    <x v="80"/>
    <x v="308"/>
    <x v="50"/>
    <x v="250"/>
    <x v="0"/>
  </r>
  <r>
    <x v="0"/>
    <x v="26"/>
    <x v="26"/>
    <x v="10"/>
    <x v="10"/>
    <x v="10"/>
    <x v="6"/>
    <x v="138"/>
    <x v="6"/>
    <x v="86"/>
    <x v="309"/>
    <x v="78"/>
    <x v="251"/>
    <x v="0"/>
  </r>
  <r>
    <x v="0"/>
    <x v="26"/>
    <x v="26"/>
    <x v="27"/>
    <x v="27"/>
    <x v="27"/>
    <x v="7"/>
    <x v="120"/>
    <x v="8"/>
    <x v="55"/>
    <x v="143"/>
    <x v="76"/>
    <x v="252"/>
    <x v="0"/>
  </r>
  <r>
    <x v="0"/>
    <x v="26"/>
    <x v="26"/>
    <x v="5"/>
    <x v="5"/>
    <x v="5"/>
    <x v="7"/>
    <x v="120"/>
    <x v="8"/>
    <x v="69"/>
    <x v="205"/>
    <x v="80"/>
    <x v="51"/>
    <x v="0"/>
  </r>
  <r>
    <x v="0"/>
    <x v="26"/>
    <x v="26"/>
    <x v="26"/>
    <x v="26"/>
    <x v="26"/>
    <x v="7"/>
    <x v="120"/>
    <x v="8"/>
    <x v="67"/>
    <x v="271"/>
    <x v="92"/>
    <x v="253"/>
    <x v="0"/>
  </r>
  <r>
    <x v="0"/>
    <x v="26"/>
    <x v="26"/>
    <x v="1"/>
    <x v="1"/>
    <x v="1"/>
    <x v="10"/>
    <x v="121"/>
    <x v="222"/>
    <x v="80"/>
    <x v="308"/>
    <x v="76"/>
    <x v="252"/>
    <x v="0"/>
  </r>
  <r>
    <x v="0"/>
    <x v="26"/>
    <x v="26"/>
    <x v="12"/>
    <x v="12"/>
    <x v="12"/>
    <x v="10"/>
    <x v="121"/>
    <x v="222"/>
    <x v="69"/>
    <x v="205"/>
    <x v="94"/>
    <x v="248"/>
    <x v="0"/>
  </r>
  <r>
    <x v="0"/>
    <x v="26"/>
    <x v="26"/>
    <x v="17"/>
    <x v="17"/>
    <x v="17"/>
    <x v="12"/>
    <x v="137"/>
    <x v="104"/>
    <x v="72"/>
    <x v="310"/>
    <x v="60"/>
    <x v="247"/>
    <x v="0"/>
  </r>
  <r>
    <x v="0"/>
    <x v="26"/>
    <x v="26"/>
    <x v="16"/>
    <x v="16"/>
    <x v="16"/>
    <x v="12"/>
    <x v="137"/>
    <x v="104"/>
    <x v="55"/>
    <x v="143"/>
    <x v="66"/>
    <x v="70"/>
    <x v="0"/>
  </r>
  <r>
    <x v="0"/>
    <x v="26"/>
    <x v="26"/>
    <x v="3"/>
    <x v="3"/>
    <x v="3"/>
    <x v="19"/>
    <x v="124"/>
    <x v="95"/>
    <x v="72"/>
    <x v="310"/>
    <x v="54"/>
    <x v="254"/>
    <x v="0"/>
  </r>
  <r>
    <x v="0"/>
    <x v="26"/>
    <x v="26"/>
    <x v="14"/>
    <x v="14"/>
    <x v="14"/>
    <x v="19"/>
    <x v="124"/>
    <x v="95"/>
    <x v="115"/>
    <x v="67"/>
    <x v="66"/>
    <x v="70"/>
    <x v="0"/>
  </r>
  <r>
    <x v="0"/>
    <x v="26"/>
    <x v="26"/>
    <x v="81"/>
    <x v="81"/>
    <x v="81"/>
    <x v="19"/>
    <x v="124"/>
    <x v="95"/>
    <x v="120"/>
    <x v="211"/>
    <x v="76"/>
    <x v="252"/>
    <x v="0"/>
  </r>
  <r>
    <x v="0"/>
    <x v="26"/>
    <x v="26"/>
    <x v="68"/>
    <x v="68"/>
    <x v="68"/>
    <x v="16"/>
    <x v="125"/>
    <x v="14"/>
    <x v="80"/>
    <x v="308"/>
    <x v="78"/>
    <x v="251"/>
    <x v="0"/>
  </r>
  <r>
    <x v="0"/>
    <x v="26"/>
    <x v="26"/>
    <x v="84"/>
    <x v="84"/>
    <x v="84"/>
    <x v="16"/>
    <x v="125"/>
    <x v="14"/>
    <x v="72"/>
    <x v="310"/>
    <x v="66"/>
    <x v="70"/>
    <x v="0"/>
  </r>
  <r>
    <x v="0"/>
    <x v="26"/>
    <x v="26"/>
    <x v="7"/>
    <x v="7"/>
    <x v="7"/>
    <x v="16"/>
    <x v="125"/>
    <x v="14"/>
    <x v="86"/>
    <x v="309"/>
    <x v="70"/>
    <x v="255"/>
    <x v="0"/>
  </r>
  <r>
    <x v="0"/>
    <x v="26"/>
    <x v="26"/>
    <x v="20"/>
    <x v="20"/>
    <x v="20"/>
    <x v="16"/>
    <x v="125"/>
    <x v="14"/>
    <x v="80"/>
    <x v="308"/>
    <x v="78"/>
    <x v="251"/>
    <x v="0"/>
  </r>
  <r>
    <x v="0"/>
    <x v="27"/>
    <x v="27"/>
    <x v="5"/>
    <x v="5"/>
    <x v="5"/>
    <x v="0"/>
    <x v="130"/>
    <x v="233"/>
    <x v="78"/>
    <x v="311"/>
    <x v="94"/>
    <x v="256"/>
    <x v="0"/>
  </r>
  <r>
    <x v="0"/>
    <x v="27"/>
    <x v="27"/>
    <x v="31"/>
    <x v="31"/>
    <x v="31"/>
    <x v="1"/>
    <x v="153"/>
    <x v="234"/>
    <x v="78"/>
    <x v="311"/>
    <x v="70"/>
    <x v="43"/>
    <x v="0"/>
  </r>
  <r>
    <x v="0"/>
    <x v="27"/>
    <x v="27"/>
    <x v="10"/>
    <x v="10"/>
    <x v="10"/>
    <x v="1"/>
    <x v="153"/>
    <x v="234"/>
    <x v="67"/>
    <x v="312"/>
    <x v="95"/>
    <x v="257"/>
    <x v="0"/>
  </r>
  <r>
    <x v="0"/>
    <x v="27"/>
    <x v="27"/>
    <x v="46"/>
    <x v="46"/>
    <x v="46"/>
    <x v="1"/>
    <x v="153"/>
    <x v="234"/>
    <x v="55"/>
    <x v="313"/>
    <x v="94"/>
    <x v="256"/>
    <x v="0"/>
  </r>
  <r>
    <x v="0"/>
    <x v="27"/>
    <x v="27"/>
    <x v="34"/>
    <x v="34"/>
    <x v="34"/>
    <x v="1"/>
    <x v="153"/>
    <x v="234"/>
    <x v="74"/>
    <x v="314"/>
    <x v="98"/>
    <x v="168"/>
    <x v="0"/>
  </r>
  <r>
    <x v="0"/>
    <x v="27"/>
    <x v="27"/>
    <x v="3"/>
    <x v="3"/>
    <x v="3"/>
    <x v="5"/>
    <x v="146"/>
    <x v="36"/>
    <x v="115"/>
    <x v="262"/>
    <x v="80"/>
    <x v="258"/>
    <x v="0"/>
  </r>
  <r>
    <x v="0"/>
    <x v="27"/>
    <x v="27"/>
    <x v="7"/>
    <x v="7"/>
    <x v="7"/>
    <x v="6"/>
    <x v="147"/>
    <x v="235"/>
    <x v="80"/>
    <x v="315"/>
    <x v="70"/>
    <x v="43"/>
    <x v="0"/>
  </r>
  <r>
    <x v="0"/>
    <x v="27"/>
    <x v="27"/>
    <x v="85"/>
    <x v="85"/>
    <x v="85"/>
    <x v="6"/>
    <x v="147"/>
    <x v="235"/>
    <x v="115"/>
    <x v="262"/>
    <x v="94"/>
    <x v="256"/>
    <x v="0"/>
  </r>
  <r>
    <x v="0"/>
    <x v="27"/>
    <x v="27"/>
    <x v="2"/>
    <x v="2"/>
    <x v="2"/>
    <x v="6"/>
    <x v="147"/>
    <x v="235"/>
    <x v="68"/>
    <x v="316"/>
    <x v="98"/>
    <x v="168"/>
    <x v="0"/>
  </r>
  <r>
    <x v="0"/>
    <x v="27"/>
    <x v="27"/>
    <x v="76"/>
    <x v="76"/>
    <x v="76"/>
    <x v="9"/>
    <x v="148"/>
    <x v="236"/>
    <x v="115"/>
    <x v="262"/>
    <x v="70"/>
    <x v="43"/>
    <x v="0"/>
  </r>
  <r>
    <x v="0"/>
    <x v="27"/>
    <x v="27"/>
    <x v="24"/>
    <x v="24"/>
    <x v="24"/>
    <x v="9"/>
    <x v="148"/>
    <x v="236"/>
    <x v="80"/>
    <x v="315"/>
    <x v="53"/>
    <x v="259"/>
    <x v="0"/>
  </r>
  <r>
    <x v="0"/>
    <x v="27"/>
    <x v="27"/>
    <x v="86"/>
    <x v="86"/>
    <x v="86"/>
    <x v="11"/>
    <x v="149"/>
    <x v="178"/>
    <x v="55"/>
    <x v="313"/>
    <x v="98"/>
    <x v="168"/>
    <x v="0"/>
  </r>
  <r>
    <x v="0"/>
    <x v="27"/>
    <x v="27"/>
    <x v="51"/>
    <x v="51"/>
    <x v="51"/>
    <x v="11"/>
    <x v="149"/>
    <x v="178"/>
    <x v="115"/>
    <x v="262"/>
    <x v="53"/>
    <x v="259"/>
    <x v="0"/>
  </r>
  <r>
    <x v="0"/>
    <x v="27"/>
    <x v="27"/>
    <x v="17"/>
    <x v="17"/>
    <x v="17"/>
    <x v="13"/>
    <x v="150"/>
    <x v="118"/>
    <x v="72"/>
    <x v="128"/>
    <x v="53"/>
    <x v="259"/>
    <x v="0"/>
  </r>
  <r>
    <x v="0"/>
    <x v="27"/>
    <x v="27"/>
    <x v="13"/>
    <x v="13"/>
    <x v="13"/>
    <x v="13"/>
    <x v="150"/>
    <x v="118"/>
    <x v="80"/>
    <x v="315"/>
    <x v="98"/>
    <x v="168"/>
    <x v="0"/>
  </r>
  <r>
    <x v="0"/>
    <x v="27"/>
    <x v="27"/>
    <x v="38"/>
    <x v="38"/>
    <x v="38"/>
    <x v="13"/>
    <x v="150"/>
    <x v="118"/>
    <x v="115"/>
    <x v="262"/>
    <x v="95"/>
    <x v="257"/>
    <x v="0"/>
  </r>
  <r>
    <x v="0"/>
    <x v="27"/>
    <x v="27"/>
    <x v="32"/>
    <x v="32"/>
    <x v="32"/>
    <x v="13"/>
    <x v="150"/>
    <x v="118"/>
    <x v="115"/>
    <x v="262"/>
    <x v="95"/>
    <x v="257"/>
    <x v="0"/>
  </r>
  <r>
    <x v="0"/>
    <x v="27"/>
    <x v="27"/>
    <x v="1"/>
    <x v="1"/>
    <x v="1"/>
    <x v="13"/>
    <x v="150"/>
    <x v="118"/>
    <x v="72"/>
    <x v="128"/>
    <x v="95"/>
    <x v="257"/>
    <x v="0"/>
  </r>
  <r>
    <x v="0"/>
    <x v="27"/>
    <x v="27"/>
    <x v="12"/>
    <x v="12"/>
    <x v="12"/>
    <x v="13"/>
    <x v="150"/>
    <x v="118"/>
    <x v="80"/>
    <x v="315"/>
    <x v="98"/>
    <x v="168"/>
    <x v="0"/>
  </r>
  <r>
    <x v="0"/>
    <x v="27"/>
    <x v="27"/>
    <x v="49"/>
    <x v="49"/>
    <x v="49"/>
    <x v="18"/>
    <x v="151"/>
    <x v="75"/>
    <x v="115"/>
    <x v="262"/>
    <x v="98"/>
    <x v="168"/>
    <x v="0"/>
  </r>
  <r>
    <x v="0"/>
    <x v="27"/>
    <x v="27"/>
    <x v="14"/>
    <x v="14"/>
    <x v="14"/>
    <x v="18"/>
    <x v="151"/>
    <x v="75"/>
    <x v="115"/>
    <x v="262"/>
    <x v="98"/>
    <x v="168"/>
    <x v="0"/>
  </r>
  <r>
    <x v="0"/>
    <x v="27"/>
    <x v="27"/>
    <x v="27"/>
    <x v="27"/>
    <x v="27"/>
    <x v="18"/>
    <x v="151"/>
    <x v="75"/>
    <x v="72"/>
    <x v="128"/>
    <x v="95"/>
    <x v="257"/>
    <x v="0"/>
  </r>
  <r>
    <x v="0"/>
    <x v="27"/>
    <x v="27"/>
    <x v="30"/>
    <x v="30"/>
    <x v="30"/>
    <x v="18"/>
    <x v="151"/>
    <x v="75"/>
    <x v="72"/>
    <x v="128"/>
    <x v="95"/>
    <x v="257"/>
    <x v="0"/>
  </r>
  <r>
    <x v="0"/>
    <x v="27"/>
    <x v="27"/>
    <x v="19"/>
    <x v="19"/>
    <x v="19"/>
    <x v="18"/>
    <x v="151"/>
    <x v="75"/>
    <x v="72"/>
    <x v="128"/>
    <x v="95"/>
    <x v="257"/>
    <x v="0"/>
  </r>
  <r>
    <x v="0"/>
    <x v="27"/>
    <x v="27"/>
    <x v="71"/>
    <x v="71"/>
    <x v="71"/>
    <x v="18"/>
    <x v="151"/>
    <x v="75"/>
    <x v="72"/>
    <x v="128"/>
    <x v="95"/>
    <x v="257"/>
    <x v="0"/>
  </r>
  <r>
    <x v="0"/>
    <x v="27"/>
    <x v="27"/>
    <x v="9"/>
    <x v="9"/>
    <x v="9"/>
    <x v="18"/>
    <x v="151"/>
    <x v="75"/>
    <x v="115"/>
    <x v="262"/>
    <x v="98"/>
    <x v="168"/>
    <x v="0"/>
  </r>
  <r>
    <x v="0"/>
    <x v="27"/>
    <x v="27"/>
    <x v="0"/>
    <x v="0"/>
    <x v="0"/>
    <x v="18"/>
    <x v="151"/>
    <x v="75"/>
    <x v="115"/>
    <x v="262"/>
    <x v="98"/>
    <x v="168"/>
    <x v="0"/>
  </r>
  <r>
    <x v="0"/>
    <x v="27"/>
    <x v="27"/>
    <x v="77"/>
    <x v="77"/>
    <x v="77"/>
    <x v="18"/>
    <x v="151"/>
    <x v="75"/>
    <x v="120"/>
    <x v="211"/>
    <x v="53"/>
    <x v="259"/>
    <x v="0"/>
  </r>
  <r>
    <x v="0"/>
    <x v="28"/>
    <x v="28"/>
    <x v="46"/>
    <x v="46"/>
    <x v="46"/>
    <x v="0"/>
    <x v="121"/>
    <x v="153"/>
    <x v="74"/>
    <x v="317"/>
    <x v="77"/>
    <x v="260"/>
    <x v="0"/>
  </r>
  <r>
    <x v="0"/>
    <x v="28"/>
    <x v="28"/>
    <x v="1"/>
    <x v="1"/>
    <x v="1"/>
    <x v="1"/>
    <x v="124"/>
    <x v="237"/>
    <x v="74"/>
    <x v="317"/>
    <x v="80"/>
    <x v="261"/>
    <x v="0"/>
  </r>
  <r>
    <x v="0"/>
    <x v="28"/>
    <x v="28"/>
    <x v="0"/>
    <x v="0"/>
    <x v="0"/>
    <x v="1"/>
    <x v="124"/>
    <x v="237"/>
    <x v="45"/>
    <x v="318"/>
    <x v="98"/>
    <x v="168"/>
    <x v="0"/>
  </r>
  <r>
    <x v="0"/>
    <x v="28"/>
    <x v="28"/>
    <x v="5"/>
    <x v="5"/>
    <x v="5"/>
    <x v="3"/>
    <x v="125"/>
    <x v="238"/>
    <x v="70"/>
    <x v="319"/>
    <x v="53"/>
    <x v="6"/>
    <x v="0"/>
  </r>
  <r>
    <x v="0"/>
    <x v="28"/>
    <x v="28"/>
    <x v="13"/>
    <x v="13"/>
    <x v="13"/>
    <x v="4"/>
    <x v="129"/>
    <x v="161"/>
    <x v="67"/>
    <x v="320"/>
    <x v="70"/>
    <x v="220"/>
    <x v="0"/>
  </r>
  <r>
    <x v="0"/>
    <x v="28"/>
    <x v="28"/>
    <x v="9"/>
    <x v="9"/>
    <x v="9"/>
    <x v="5"/>
    <x v="130"/>
    <x v="176"/>
    <x v="86"/>
    <x v="295"/>
    <x v="98"/>
    <x v="168"/>
    <x v="0"/>
  </r>
  <r>
    <x v="0"/>
    <x v="28"/>
    <x v="28"/>
    <x v="24"/>
    <x v="24"/>
    <x v="24"/>
    <x v="5"/>
    <x v="130"/>
    <x v="176"/>
    <x v="68"/>
    <x v="152"/>
    <x v="70"/>
    <x v="220"/>
    <x v="0"/>
  </r>
  <r>
    <x v="0"/>
    <x v="28"/>
    <x v="28"/>
    <x v="2"/>
    <x v="2"/>
    <x v="2"/>
    <x v="7"/>
    <x v="153"/>
    <x v="101"/>
    <x v="74"/>
    <x v="317"/>
    <x v="98"/>
    <x v="168"/>
    <x v="0"/>
  </r>
  <r>
    <x v="0"/>
    <x v="28"/>
    <x v="28"/>
    <x v="3"/>
    <x v="3"/>
    <x v="3"/>
    <x v="8"/>
    <x v="146"/>
    <x v="180"/>
    <x v="120"/>
    <x v="211"/>
    <x v="48"/>
    <x v="262"/>
    <x v="0"/>
  </r>
  <r>
    <x v="0"/>
    <x v="28"/>
    <x v="28"/>
    <x v="17"/>
    <x v="17"/>
    <x v="17"/>
    <x v="8"/>
    <x v="146"/>
    <x v="180"/>
    <x v="80"/>
    <x v="13"/>
    <x v="94"/>
    <x v="263"/>
    <x v="0"/>
  </r>
  <r>
    <x v="0"/>
    <x v="28"/>
    <x v="28"/>
    <x v="51"/>
    <x v="51"/>
    <x v="51"/>
    <x v="8"/>
    <x v="146"/>
    <x v="180"/>
    <x v="80"/>
    <x v="13"/>
    <x v="94"/>
    <x v="263"/>
    <x v="0"/>
  </r>
  <r>
    <x v="0"/>
    <x v="28"/>
    <x v="28"/>
    <x v="31"/>
    <x v="31"/>
    <x v="31"/>
    <x v="8"/>
    <x v="146"/>
    <x v="180"/>
    <x v="68"/>
    <x v="152"/>
    <x v="95"/>
    <x v="264"/>
    <x v="0"/>
  </r>
  <r>
    <x v="0"/>
    <x v="28"/>
    <x v="28"/>
    <x v="6"/>
    <x v="6"/>
    <x v="6"/>
    <x v="8"/>
    <x v="146"/>
    <x v="180"/>
    <x v="68"/>
    <x v="152"/>
    <x v="95"/>
    <x v="264"/>
    <x v="0"/>
  </r>
  <r>
    <x v="0"/>
    <x v="28"/>
    <x v="28"/>
    <x v="33"/>
    <x v="33"/>
    <x v="33"/>
    <x v="8"/>
    <x v="146"/>
    <x v="180"/>
    <x v="72"/>
    <x v="321"/>
    <x v="82"/>
    <x v="217"/>
    <x v="0"/>
  </r>
  <r>
    <x v="0"/>
    <x v="28"/>
    <x v="28"/>
    <x v="27"/>
    <x v="27"/>
    <x v="27"/>
    <x v="19"/>
    <x v="147"/>
    <x v="26"/>
    <x v="78"/>
    <x v="322"/>
    <x v="95"/>
    <x v="264"/>
    <x v="0"/>
  </r>
  <r>
    <x v="0"/>
    <x v="28"/>
    <x v="28"/>
    <x v="34"/>
    <x v="34"/>
    <x v="34"/>
    <x v="19"/>
    <x v="147"/>
    <x v="26"/>
    <x v="68"/>
    <x v="152"/>
    <x v="98"/>
    <x v="168"/>
    <x v="0"/>
  </r>
  <r>
    <x v="0"/>
    <x v="28"/>
    <x v="28"/>
    <x v="4"/>
    <x v="4"/>
    <x v="4"/>
    <x v="19"/>
    <x v="147"/>
    <x v="26"/>
    <x v="68"/>
    <x v="152"/>
    <x v="98"/>
    <x v="168"/>
    <x v="0"/>
  </r>
  <r>
    <x v="0"/>
    <x v="28"/>
    <x v="28"/>
    <x v="86"/>
    <x v="86"/>
    <x v="86"/>
    <x v="16"/>
    <x v="148"/>
    <x v="13"/>
    <x v="78"/>
    <x v="322"/>
    <x v="98"/>
    <x v="168"/>
    <x v="0"/>
  </r>
  <r>
    <x v="0"/>
    <x v="28"/>
    <x v="28"/>
    <x v="29"/>
    <x v="29"/>
    <x v="29"/>
    <x v="16"/>
    <x v="148"/>
    <x v="13"/>
    <x v="120"/>
    <x v="211"/>
    <x v="80"/>
    <x v="261"/>
    <x v="0"/>
  </r>
  <r>
    <x v="0"/>
    <x v="28"/>
    <x v="28"/>
    <x v="7"/>
    <x v="7"/>
    <x v="7"/>
    <x v="16"/>
    <x v="148"/>
    <x v="13"/>
    <x v="55"/>
    <x v="140"/>
    <x v="95"/>
    <x v="264"/>
    <x v="0"/>
  </r>
  <r>
    <x v="0"/>
    <x v="28"/>
    <x v="28"/>
    <x v="87"/>
    <x v="87"/>
    <x v="87"/>
    <x v="16"/>
    <x v="148"/>
    <x v="13"/>
    <x v="115"/>
    <x v="259"/>
    <x v="70"/>
    <x v="220"/>
    <x v="0"/>
  </r>
  <r>
    <x v="0"/>
    <x v="28"/>
    <x v="28"/>
    <x v="76"/>
    <x v="76"/>
    <x v="76"/>
    <x v="16"/>
    <x v="148"/>
    <x v="13"/>
    <x v="78"/>
    <x v="322"/>
    <x v="98"/>
    <x v="168"/>
    <x v="0"/>
  </r>
  <r>
    <x v="0"/>
    <x v="29"/>
    <x v="29"/>
    <x v="3"/>
    <x v="3"/>
    <x v="3"/>
    <x v="0"/>
    <x v="148"/>
    <x v="239"/>
    <x v="72"/>
    <x v="313"/>
    <x v="94"/>
    <x v="265"/>
    <x v="0"/>
  </r>
  <r>
    <x v="0"/>
    <x v="29"/>
    <x v="29"/>
    <x v="46"/>
    <x v="46"/>
    <x v="46"/>
    <x v="1"/>
    <x v="149"/>
    <x v="240"/>
    <x v="115"/>
    <x v="314"/>
    <x v="53"/>
    <x v="266"/>
    <x v="0"/>
  </r>
  <r>
    <x v="0"/>
    <x v="29"/>
    <x v="29"/>
    <x v="7"/>
    <x v="7"/>
    <x v="7"/>
    <x v="2"/>
    <x v="150"/>
    <x v="241"/>
    <x v="80"/>
    <x v="40"/>
    <x v="98"/>
    <x v="168"/>
    <x v="0"/>
  </r>
  <r>
    <x v="0"/>
    <x v="29"/>
    <x v="29"/>
    <x v="33"/>
    <x v="33"/>
    <x v="33"/>
    <x v="2"/>
    <x v="150"/>
    <x v="241"/>
    <x v="115"/>
    <x v="314"/>
    <x v="95"/>
    <x v="267"/>
    <x v="0"/>
  </r>
  <r>
    <x v="0"/>
    <x v="29"/>
    <x v="29"/>
    <x v="12"/>
    <x v="12"/>
    <x v="12"/>
    <x v="2"/>
    <x v="150"/>
    <x v="241"/>
    <x v="80"/>
    <x v="40"/>
    <x v="98"/>
    <x v="168"/>
    <x v="0"/>
  </r>
  <r>
    <x v="0"/>
    <x v="29"/>
    <x v="29"/>
    <x v="88"/>
    <x v="88"/>
    <x v="88"/>
    <x v="5"/>
    <x v="151"/>
    <x v="242"/>
    <x v="72"/>
    <x v="313"/>
    <x v="95"/>
    <x v="267"/>
    <x v="0"/>
  </r>
  <r>
    <x v="0"/>
    <x v="29"/>
    <x v="29"/>
    <x v="38"/>
    <x v="38"/>
    <x v="38"/>
    <x v="5"/>
    <x v="151"/>
    <x v="242"/>
    <x v="115"/>
    <x v="314"/>
    <x v="98"/>
    <x v="168"/>
    <x v="0"/>
  </r>
  <r>
    <x v="0"/>
    <x v="29"/>
    <x v="29"/>
    <x v="89"/>
    <x v="89"/>
    <x v="89"/>
    <x v="5"/>
    <x v="151"/>
    <x v="242"/>
    <x v="115"/>
    <x v="314"/>
    <x v="98"/>
    <x v="168"/>
    <x v="0"/>
  </r>
  <r>
    <x v="0"/>
    <x v="29"/>
    <x v="29"/>
    <x v="34"/>
    <x v="34"/>
    <x v="34"/>
    <x v="5"/>
    <x v="151"/>
    <x v="242"/>
    <x v="115"/>
    <x v="314"/>
    <x v="98"/>
    <x v="168"/>
    <x v="0"/>
  </r>
  <r>
    <x v="0"/>
    <x v="29"/>
    <x v="29"/>
    <x v="58"/>
    <x v="58"/>
    <x v="58"/>
    <x v="9"/>
    <x v="152"/>
    <x v="128"/>
    <x v="120"/>
    <x v="211"/>
    <x v="95"/>
    <x v="267"/>
    <x v="0"/>
  </r>
  <r>
    <x v="0"/>
    <x v="29"/>
    <x v="29"/>
    <x v="90"/>
    <x v="90"/>
    <x v="90"/>
    <x v="9"/>
    <x v="152"/>
    <x v="128"/>
    <x v="120"/>
    <x v="211"/>
    <x v="95"/>
    <x v="267"/>
    <x v="0"/>
  </r>
  <r>
    <x v="0"/>
    <x v="29"/>
    <x v="29"/>
    <x v="64"/>
    <x v="64"/>
    <x v="64"/>
    <x v="9"/>
    <x v="152"/>
    <x v="128"/>
    <x v="120"/>
    <x v="211"/>
    <x v="95"/>
    <x v="267"/>
    <x v="0"/>
  </r>
  <r>
    <x v="0"/>
    <x v="29"/>
    <x v="29"/>
    <x v="91"/>
    <x v="91"/>
    <x v="91"/>
    <x v="9"/>
    <x v="152"/>
    <x v="128"/>
    <x v="120"/>
    <x v="211"/>
    <x v="95"/>
    <x v="267"/>
    <x v="0"/>
  </r>
  <r>
    <x v="0"/>
    <x v="29"/>
    <x v="29"/>
    <x v="29"/>
    <x v="29"/>
    <x v="29"/>
    <x v="9"/>
    <x v="152"/>
    <x v="128"/>
    <x v="120"/>
    <x v="211"/>
    <x v="95"/>
    <x v="267"/>
    <x v="0"/>
  </r>
  <r>
    <x v="0"/>
    <x v="29"/>
    <x v="29"/>
    <x v="92"/>
    <x v="92"/>
    <x v="92"/>
    <x v="9"/>
    <x v="152"/>
    <x v="128"/>
    <x v="120"/>
    <x v="211"/>
    <x v="95"/>
    <x v="267"/>
    <x v="0"/>
  </r>
  <r>
    <x v="0"/>
    <x v="29"/>
    <x v="29"/>
    <x v="31"/>
    <x v="31"/>
    <x v="31"/>
    <x v="9"/>
    <x v="152"/>
    <x v="128"/>
    <x v="72"/>
    <x v="313"/>
    <x v="98"/>
    <x v="168"/>
    <x v="0"/>
  </r>
  <r>
    <x v="0"/>
    <x v="29"/>
    <x v="29"/>
    <x v="72"/>
    <x v="72"/>
    <x v="72"/>
    <x v="9"/>
    <x v="152"/>
    <x v="128"/>
    <x v="120"/>
    <x v="211"/>
    <x v="95"/>
    <x v="267"/>
    <x v="0"/>
  </r>
  <r>
    <x v="0"/>
    <x v="29"/>
    <x v="29"/>
    <x v="10"/>
    <x v="10"/>
    <x v="10"/>
    <x v="9"/>
    <x v="152"/>
    <x v="128"/>
    <x v="72"/>
    <x v="313"/>
    <x v="98"/>
    <x v="168"/>
    <x v="0"/>
  </r>
  <r>
    <x v="0"/>
    <x v="29"/>
    <x v="29"/>
    <x v="15"/>
    <x v="15"/>
    <x v="15"/>
    <x v="9"/>
    <x v="152"/>
    <x v="128"/>
    <x v="120"/>
    <x v="211"/>
    <x v="98"/>
    <x v="168"/>
    <x v="0"/>
  </r>
  <r>
    <x v="0"/>
    <x v="29"/>
    <x v="29"/>
    <x v="85"/>
    <x v="85"/>
    <x v="85"/>
    <x v="9"/>
    <x v="152"/>
    <x v="128"/>
    <x v="120"/>
    <x v="211"/>
    <x v="95"/>
    <x v="267"/>
    <x v="0"/>
  </r>
  <r>
    <x v="0"/>
    <x v="29"/>
    <x v="29"/>
    <x v="5"/>
    <x v="5"/>
    <x v="5"/>
    <x v="9"/>
    <x v="152"/>
    <x v="128"/>
    <x v="72"/>
    <x v="313"/>
    <x v="98"/>
    <x v="168"/>
    <x v="0"/>
  </r>
  <r>
    <x v="0"/>
    <x v="29"/>
    <x v="29"/>
    <x v="52"/>
    <x v="52"/>
    <x v="52"/>
    <x v="9"/>
    <x v="152"/>
    <x v="128"/>
    <x v="120"/>
    <x v="211"/>
    <x v="98"/>
    <x v="168"/>
    <x v="0"/>
  </r>
  <r>
    <x v="0"/>
    <x v="29"/>
    <x v="29"/>
    <x v="2"/>
    <x v="2"/>
    <x v="2"/>
    <x v="9"/>
    <x v="152"/>
    <x v="128"/>
    <x v="72"/>
    <x v="313"/>
    <x v="98"/>
    <x v="168"/>
    <x v="0"/>
  </r>
  <r>
    <x v="0"/>
    <x v="29"/>
    <x v="29"/>
    <x v="8"/>
    <x v="8"/>
    <x v="8"/>
    <x v="9"/>
    <x v="152"/>
    <x v="128"/>
    <x v="72"/>
    <x v="313"/>
    <x v="98"/>
    <x v="168"/>
    <x v="0"/>
  </r>
  <r>
    <x v="0"/>
    <x v="29"/>
    <x v="29"/>
    <x v="81"/>
    <x v="81"/>
    <x v="81"/>
    <x v="9"/>
    <x v="152"/>
    <x v="128"/>
    <x v="120"/>
    <x v="211"/>
    <x v="98"/>
    <x v="168"/>
    <x v="0"/>
  </r>
  <r>
    <x v="0"/>
    <x v="29"/>
    <x v="29"/>
    <x v="45"/>
    <x v="45"/>
    <x v="45"/>
    <x v="9"/>
    <x v="152"/>
    <x v="128"/>
    <x v="120"/>
    <x v="211"/>
    <x v="95"/>
    <x v="267"/>
    <x v="0"/>
  </r>
  <r>
    <x v="0"/>
    <x v="29"/>
    <x v="29"/>
    <x v="41"/>
    <x v="41"/>
    <x v="41"/>
    <x v="9"/>
    <x v="152"/>
    <x v="128"/>
    <x v="120"/>
    <x v="211"/>
    <x v="95"/>
    <x v="267"/>
    <x v="0"/>
  </r>
  <r>
    <x v="0"/>
    <x v="29"/>
    <x v="29"/>
    <x v="93"/>
    <x v="93"/>
    <x v="93"/>
    <x v="9"/>
    <x v="152"/>
    <x v="128"/>
    <x v="120"/>
    <x v="211"/>
    <x v="95"/>
    <x v="267"/>
    <x v="0"/>
  </r>
  <r>
    <x v="0"/>
    <x v="29"/>
    <x v="29"/>
    <x v="55"/>
    <x v="55"/>
    <x v="55"/>
    <x v="9"/>
    <x v="152"/>
    <x v="128"/>
    <x v="120"/>
    <x v="211"/>
    <x v="95"/>
    <x v="267"/>
    <x v="0"/>
  </r>
  <r>
    <x v="0"/>
    <x v="30"/>
    <x v="30"/>
    <x v="3"/>
    <x v="3"/>
    <x v="3"/>
    <x v="0"/>
    <x v="125"/>
    <x v="243"/>
    <x v="120"/>
    <x v="211"/>
    <x v="54"/>
    <x v="268"/>
    <x v="0"/>
  </r>
  <r>
    <x v="0"/>
    <x v="30"/>
    <x v="30"/>
    <x v="0"/>
    <x v="0"/>
    <x v="0"/>
    <x v="1"/>
    <x v="129"/>
    <x v="244"/>
    <x v="74"/>
    <x v="323"/>
    <x v="53"/>
    <x v="220"/>
    <x v="0"/>
  </r>
  <r>
    <x v="0"/>
    <x v="30"/>
    <x v="30"/>
    <x v="46"/>
    <x v="46"/>
    <x v="46"/>
    <x v="2"/>
    <x v="130"/>
    <x v="245"/>
    <x v="86"/>
    <x v="324"/>
    <x v="98"/>
    <x v="168"/>
    <x v="0"/>
  </r>
  <r>
    <x v="0"/>
    <x v="30"/>
    <x v="30"/>
    <x v="7"/>
    <x v="7"/>
    <x v="7"/>
    <x v="3"/>
    <x v="153"/>
    <x v="228"/>
    <x v="68"/>
    <x v="325"/>
    <x v="53"/>
    <x v="220"/>
    <x v="0"/>
  </r>
  <r>
    <x v="0"/>
    <x v="30"/>
    <x v="30"/>
    <x v="10"/>
    <x v="10"/>
    <x v="10"/>
    <x v="3"/>
    <x v="153"/>
    <x v="228"/>
    <x v="55"/>
    <x v="326"/>
    <x v="94"/>
    <x v="217"/>
    <x v="0"/>
  </r>
  <r>
    <x v="0"/>
    <x v="30"/>
    <x v="30"/>
    <x v="5"/>
    <x v="5"/>
    <x v="5"/>
    <x v="3"/>
    <x v="153"/>
    <x v="228"/>
    <x v="78"/>
    <x v="313"/>
    <x v="70"/>
    <x v="269"/>
    <x v="0"/>
  </r>
  <r>
    <x v="0"/>
    <x v="30"/>
    <x v="30"/>
    <x v="13"/>
    <x v="13"/>
    <x v="13"/>
    <x v="6"/>
    <x v="147"/>
    <x v="175"/>
    <x v="55"/>
    <x v="326"/>
    <x v="53"/>
    <x v="220"/>
    <x v="0"/>
  </r>
  <r>
    <x v="0"/>
    <x v="30"/>
    <x v="30"/>
    <x v="31"/>
    <x v="31"/>
    <x v="31"/>
    <x v="6"/>
    <x v="147"/>
    <x v="175"/>
    <x v="68"/>
    <x v="325"/>
    <x v="98"/>
    <x v="168"/>
    <x v="0"/>
  </r>
  <r>
    <x v="0"/>
    <x v="30"/>
    <x v="30"/>
    <x v="16"/>
    <x v="16"/>
    <x v="16"/>
    <x v="8"/>
    <x v="148"/>
    <x v="171"/>
    <x v="115"/>
    <x v="327"/>
    <x v="70"/>
    <x v="269"/>
    <x v="0"/>
  </r>
  <r>
    <x v="0"/>
    <x v="30"/>
    <x v="30"/>
    <x v="9"/>
    <x v="9"/>
    <x v="9"/>
    <x v="8"/>
    <x v="148"/>
    <x v="171"/>
    <x v="55"/>
    <x v="326"/>
    <x v="95"/>
    <x v="270"/>
    <x v="0"/>
  </r>
  <r>
    <x v="0"/>
    <x v="30"/>
    <x v="30"/>
    <x v="2"/>
    <x v="2"/>
    <x v="2"/>
    <x v="8"/>
    <x v="148"/>
    <x v="171"/>
    <x v="78"/>
    <x v="313"/>
    <x v="98"/>
    <x v="168"/>
    <x v="0"/>
  </r>
  <r>
    <x v="0"/>
    <x v="30"/>
    <x v="30"/>
    <x v="19"/>
    <x v="19"/>
    <x v="19"/>
    <x v="11"/>
    <x v="149"/>
    <x v="222"/>
    <x v="55"/>
    <x v="326"/>
    <x v="98"/>
    <x v="168"/>
    <x v="0"/>
  </r>
  <r>
    <x v="0"/>
    <x v="30"/>
    <x v="30"/>
    <x v="38"/>
    <x v="38"/>
    <x v="38"/>
    <x v="11"/>
    <x v="149"/>
    <x v="222"/>
    <x v="55"/>
    <x v="326"/>
    <x v="98"/>
    <x v="168"/>
    <x v="0"/>
  </r>
  <r>
    <x v="0"/>
    <x v="30"/>
    <x v="30"/>
    <x v="74"/>
    <x v="74"/>
    <x v="74"/>
    <x v="11"/>
    <x v="149"/>
    <x v="222"/>
    <x v="55"/>
    <x v="326"/>
    <x v="98"/>
    <x v="168"/>
    <x v="0"/>
  </r>
  <r>
    <x v="0"/>
    <x v="30"/>
    <x v="30"/>
    <x v="34"/>
    <x v="34"/>
    <x v="34"/>
    <x v="11"/>
    <x v="149"/>
    <x v="222"/>
    <x v="55"/>
    <x v="326"/>
    <x v="98"/>
    <x v="168"/>
    <x v="0"/>
  </r>
  <r>
    <x v="0"/>
    <x v="30"/>
    <x v="30"/>
    <x v="8"/>
    <x v="8"/>
    <x v="8"/>
    <x v="11"/>
    <x v="149"/>
    <x v="222"/>
    <x v="55"/>
    <x v="326"/>
    <x v="98"/>
    <x v="168"/>
    <x v="0"/>
  </r>
  <r>
    <x v="0"/>
    <x v="30"/>
    <x v="30"/>
    <x v="12"/>
    <x v="12"/>
    <x v="12"/>
    <x v="11"/>
    <x v="149"/>
    <x v="222"/>
    <x v="80"/>
    <x v="328"/>
    <x v="95"/>
    <x v="270"/>
    <x v="0"/>
  </r>
  <r>
    <x v="0"/>
    <x v="30"/>
    <x v="30"/>
    <x v="17"/>
    <x v="17"/>
    <x v="17"/>
    <x v="16"/>
    <x v="150"/>
    <x v="14"/>
    <x v="72"/>
    <x v="30"/>
    <x v="53"/>
    <x v="220"/>
    <x v="0"/>
  </r>
  <r>
    <x v="0"/>
    <x v="30"/>
    <x v="30"/>
    <x v="27"/>
    <x v="27"/>
    <x v="27"/>
    <x v="16"/>
    <x v="150"/>
    <x v="14"/>
    <x v="120"/>
    <x v="211"/>
    <x v="70"/>
    <x v="269"/>
    <x v="0"/>
  </r>
  <r>
    <x v="0"/>
    <x v="30"/>
    <x v="30"/>
    <x v="51"/>
    <x v="51"/>
    <x v="51"/>
    <x v="16"/>
    <x v="150"/>
    <x v="14"/>
    <x v="120"/>
    <x v="211"/>
    <x v="70"/>
    <x v="269"/>
    <x v="0"/>
  </r>
  <r>
    <x v="0"/>
    <x v="30"/>
    <x v="30"/>
    <x v="29"/>
    <x v="29"/>
    <x v="29"/>
    <x v="16"/>
    <x v="150"/>
    <x v="14"/>
    <x v="120"/>
    <x v="211"/>
    <x v="70"/>
    <x v="269"/>
    <x v="0"/>
  </r>
  <r>
    <x v="0"/>
    <x v="30"/>
    <x v="30"/>
    <x v="32"/>
    <x v="32"/>
    <x v="32"/>
    <x v="16"/>
    <x v="150"/>
    <x v="14"/>
    <x v="115"/>
    <x v="327"/>
    <x v="95"/>
    <x v="270"/>
    <x v="0"/>
  </r>
  <r>
    <x v="0"/>
    <x v="30"/>
    <x v="30"/>
    <x v="18"/>
    <x v="18"/>
    <x v="18"/>
    <x v="16"/>
    <x v="150"/>
    <x v="14"/>
    <x v="120"/>
    <x v="211"/>
    <x v="70"/>
    <x v="269"/>
    <x v="0"/>
  </r>
  <r>
    <x v="0"/>
    <x v="30"/>
    <x v="30"/>
    <x v="24"/>
    <x v="24"/>
    <x v="24"/>
    <x v="16"/>
    <x v="150"/>
    <x v="14"/>
    <x v="80"/>
    <x v="328"/>
    <x v="98"/>
    <x v="168"/>
    <x v="0"/>
  </r>
  <r>
    <x v="0"/>
    <x v="30"/>
    <x v="30"/>
    <x v="11"/>
    <x v="11"/>
    <x v="11"/>
    <x v="16"/>
    <x v="150"/>
    <x v="14"/>
    <x v="115"/>
    <x v="327"/>
    <x v="98"/>
    <x v="168"/>
    <x v="3"/>
  </r>
  <r>
    <x v="0"/>
    <x v="30"/>
    <x v="30"/>
    <x v="45"/>
    <x v="45"/>
    <x v="45"/>
    <x v="16"/>
    <x v="150"/>
    <x v="14"/>
    <x v="120"/>
    <x v="211"/>
    <x v="70"/>
    <x v="269"/>
    <x v="0"/>
  </r>
  <r>
    <x v="0"/>
    <x v="31"/>
    <x v="31"/>
    <x v="5"/>
    <x v="5"/>
    <x v="5"/>
    <x v="0"/>
    <x v="137"/>
    <x v="246"/>
    <x v="74"/>
    <x v="329"/>
    <x v="48"/>
    <x v="271"/>
    <x v="0"/>
  </r>
  <r>
    <x v="0"/>
    <x v="31"/>
    <x v="31"/>
    <x v="3"/>
    <x v="3"/>
    <x v="3"/>
    <x v="1"/>
    <x v="122"/>
    <x v="247"/>
    <x v="120"/>
    <x v="211"/>
    <x v="60"/>
    <x v="272"/>
    <x v="0"/>
  </r>
  <r>
    <x v="0"/>
    <x v="31"/>
    <x v="31"/>
    <x v="13"/>
    <x v="13"/>
    <x v="13"/>
    <x v="2"/>
    <x v="146"/>
    <x v="199"/>
    <x v="55"/>
    <x v="81"/>
    <x v="70"/>
    <x v="273"/>
    <x v="0"/>
  </r>
  <r>
    <x v="0"/>
    <x v="31"/>
    <x v="31"/>
    <x v="2"/>
    <x v="2"/>
    <x v="2"/>
    <x v="3"/>
    <x v="147"/>
    <x v="248"/>
    <x v="68"/>
    <x v="330"/>
    <x v="98"/>
    <x v="168"/>
    <x v="0"/>
  </r>
  <r>
    <x v="0"/>
    <x v="31"/>
    <x v="31"/>
    <x v="0"/>
    <x v="0"/>
    <x v="0"/>
    <x v="3"/>
    <x v="147"/>
    <x v="248"/>
    <x v="68"/>
    <x v="330"/>
    <x v="98"/>
    <x v="168"/>
    <x v="0"/>
  </r>
  <r>
    <x v="0"/>
    <x v="31"/>
    <x v="31"/>
    <x v="7"/>
    <x v="7"/>
    <x v="7"/>
    <x v="5"/>
    <x v="148"/>
    <x v="249"/>
    <x v="80"/>
    <x v="331"/>
    <x v="53"/>
    <x v="134"/>
    <x v="0"/>
  </r>
  <r>
    <x v="0"/>
    <x v="31"/>
    <x v="31"/>
    <x v="6"/>
    <x v="6"/>
    <x v="6"/>
    <x v="5"/>
    <x v="148"/>
    <x v="249"/>
    <x v="80"/>
    <x v="331"/>
    <x v="53"/>
    <x v="134"/>
    <x v="0"/>
  </r>
  <r>
    <x v="0"/>
    <x v="31"/>
    <x v="31"/>
    <x v="17"/>
    <x v="17"/>
    <x v="17"/>
    <x v="7"/>
    <x v="149"/>
    <x v="8"/>
    <x v="72"/>
    <x v="80"/>
    <x v="70"/>
    <x v="273"/>
    <x v="0"/>
  </r>
  <r>
    <x v="0"/>
    <x v="31"/>
    <x v="31"/>
    <x v="94"/>
    <x v="94"/>
    <x v="94"/>
    <x v="7"/>
    <x v="149"/>
    <x v="8"/>
    <x v="115"/>
    <x v="225"/>
    <x v="53"/>
    <x v="134"/>
    <x v="0"/>
  </r>
  <r>
    <x v="0"/>
    <x v="31"/>
    <x v="31"/>
    <x v="10"/>
    <x v="10"/>
    <x v="10"/>
    <x v="7"/>
    <x v="149"/>
    <x v="8"/>
    <x v="80"/>
    <x v="331"/>
    <x v="95"/>
    <x v="51"/>
    <x v="0"/>
  </r>
  <r>
    <x v="0"/>
    <x v="31"/>
    <x v="31"/>
    <x v="76"/>
    <x v="76"/>
    <x v="76"/>
    <x v="7"/>
    <x v="149"/>
    <x v="8"/>
    <x v="55"/>
    <x v="81"/>
    <x v="98"/>
    <x v="168"/>
    <x v="0"/>
  </r>
  <r>
    <x v="0"/>
    <x v="31"/>
    <x v="31"/>
    <x v="49"/>
    <x v="49"/>
    <x v="49"/>
    <x v="11"/>
    <x v="150"/>
    <x v="136"/>
    <x v="72"/>
    <x v="80"/>
    <x v="53"/>
    <x v="134"/>
    <x v="0"/>
  </r>
  <r>
    <x v="0"/>
    <x v="31"/>
    <x v="31"/>
    <x v="58"/>
    <x v="58"/>
    <x v="58"/>
    <x v="11"/>
    <x v="150"/>
    <x v="136"/>
    <x v="72"/>
    <x v="80"/>
    <x v="53"/>
    <x v="134"/>
    <x v="0"/>
  </r>
  <r>
    <x v="0"/>
    <x v="31"/>
    <x v="31"/>
    <x v="60"/>
    <x v="60"/>
    <x v="60"/>
    <x v="11"/>
    <x v="150"/>
    <x v="136"/>
    <x v="72"/>
    <x v="80"/>
    <x v="53"/>
    <x v="134"/>
    <x v="0"/>
  </r>
  <r>
    <x v="0"/>
    <x v="31"/>
    <x v="31"/>
    <x v="63"/>
    <x v="63"/>
    <x v="63"/>
    <x v="11"/>
    <x v="150"/>
    <x v="136"/>
    <x v="120"/>
    <x v="211"/>
    <x v="70"/>
    <x v="273"/>
    <x v="0"/>
  </r>
  <r>
    <x v="0"/>
    <x v="31"/>
    <x v="31"/>
    <x v="71"/>
    <x v="71"/>
    <x v="71"/>
    <x v="11"/>
    <x v="150"/>
    <x v="136"/>
    <x v="115"/>
    <x v="225"/>
    <x v="95"/>
    <x v="51"/>
    <x v="0"/>
  </r>
  <r>
    <x v="0"/>
    <x v="31"/>
    <x v="31"/>
    <x v="33"/>
    <x v="33"/>
    <x v="33"/>
    <x v="11"/>
    <x v="150"/>
    <x v="136"/>
    <x v="120"/>
    <x v="211"/>
    <x v="70"/>
    <x v="273"/>
    <x v="0"/>
  </r>
  <r>
    <x v="0"/>
    <x v="31"/>
    <x v="31"/>
    <x v="34"/>
    <x v="34"/>
    <x v="34"/>
    <x v="11"/>
    <x v="150"/>
    <x v="136"/>
    <x v="115"/>
    <x v="225"/>
    <x v="95"/>
    <x v="51"/>
    <x v="0"/>
  </r>
  <r>
    <x v="0"/>
    <x v="31"/>
    <x v="31"/>
    <x v="9"/>
    <x v="9"/>
    <x v="9"/>
    <x v="11"/>
    <x v="150"/>
    <x v="136"/>
    <x v="80"/>
    <x v="331"/>
    <x v="98"/>
    <x v="168"/>
    <x v="0"/>
  </r>
  <r>
    <x v="0"/>
    <x v="31"/>
    <x v="31"/>
    <x v="12"/>
    <x v="12"/>
    <x v="12"/>
    <x v="11"/>
    <x v="150"/>
    <x v="136"/>
    <x v="115"/>
    <x v="225"/>
    <x v="95"/>
    <x v="51"/>
    <x v="0"/>
  </r>
  <r>
    <x v="0"/>
    <x v="31"/>
    <x v="31"/>
    <x v="55"/>
    <x v="55"/>
    <x v="55"/>
    <x v="11"/>
    <x v="150"/>
    <x v="136"/>
    <x v="120"/>
    <x v="211"/>
    <x v="70"/>
    <x v="273"/>
    <x v="0"/>
  </r>
  <r>
    <x v="0"/>
    <x v="32"/>
    <x v="32"/>
    <x v="5"/>
    <x v="5"/>
    <x v="5"/>
    <x v="0"/>
    <x v="127"/>
    <x v="250"/>
    <x v="94"/>
    <x v="332"/>
    <x v="70"/>
    <x v="274"/>
    <x v="0"/>
  </r>
  <r>
    <x v="0"/>
    <x v="32"/>
    <x v="32"/>
    <x v="3"/>
    <x v="3"/>
    <x v="3"/>
    <x v="1"/>
    <x v="118"/>
    <x v="251"/>
    <x v="115"/>
    <x v="240"/>
    <x v="61"/>
    <x v="265"/>
    <x v="0"/>
  </r>
  <r>
    <x v="0"/>
    <x v="32"/>
    <x v="32"/>
    <x v="24"/>
    <x v="24"/>
    <x v="24"/>
    <x v="2"/>
    <x v="87"/>
    <x v="252"/>
    <x v="46"/>
    <x v="333"/>
    <x v="95"/>
    <x v="82"/>
    <x v="0"/>
  </r>
  <r>
    <x v="0"/>
    <x v="32"/>
    <x v="32"/>
    <x v="46"/>
    <x v="46"/>
    <x v="46"/>
    <x v="3"/>
    <x v="138"/>
    <x v="253"/>
    <x v="79"/>
    <x v="334"/>
    <x v="95"/>
    <x v="82"/>
    <x v="0"/>
  </r>
  <r>
    <x v="0"/>
    <x v="32"/>
    <x v="32"/>
    <x v="0"/>
    <x v="0"/>
    <x v="0"/>
    <x v="4"/>
    <x v="120"/>
    <x v="254"/>
    <x v="79"/>
    <x v="334"/>
    <x v="98"/>
    <x v="168"/>
    <x v="0"/>
  </r>
  <r>
    <x v="0"/>
    <x v="32"/>
    <x v="32"/>
    <x v="31"/>
    <x v="31"/>
    <x v="31"/>
    <x v="5"/>
    <x v="124"/>
    <x v="255"/>
    <x v="69"/>
    <x v="335"/>
    <x v="95"/>
    <x v="82"/>
    <x v="0"/>
  </r>
  <r>
    <x v="0"/>
    <x v="32"/>
    <x v="32"/>
    <x v="7"/>
    <x v="7"/>
    <x v="7"/>
    <x v="5"/>
    <x v="124"/>
    <x v="255"/>
    <x v="67"/>
    <x v="315"/>
    <x v="82"/>
    <x v="275"/>
    <x v="0"/>
  </r>
  <r>
    <x v="0"/>
    <x v="32"/>
    <x v="32"/>
    <x v="12"/>
    <x v="12"/>
    <x v="12"/>
    <x v="7"/>
    <x v="130"/>
    <x v="256"/>
    <x v="74"/>
    <x v="162"/>
    <x v="95"/>
    <x v="82"/>
    <x v="0"/>
  </r>
  <r>
    <x v="0"/>
    <x v="32"/>
    <x v="32"/>
    <x v="10"/>
    <x v="10"/>
    <x v="10"/>
    <x v="8"/>
    <x v="153"/>
    <x v="257"/>
    <x v="67"/>
    <x v="315"/>
    <x v="95"/>
    <x v="82"/>
    <x v="0"/>
  </r>
  <r>
    <x v="0"/>
    <x v="32"/>
    <x v="32"/>
    <x v="2"/>
    <x v="2"/>
    <x v="2"/>
    <x v="8"/>
    <x v="153"/>
    <x v="257"/>
    <x v="74"/>
    <x v="162"/>
    <x v="98"/>
    <x v="168"/>
    <x v="0"/>
  </r>
  <r>
    <x v="0"/>
    <x v="32"/>
    <x v="32"/>
    <x v="6"/>
    <x v="6"/>
    <x v="6"/>
    <x v="10"/>
    <x v="146"/>
    <x v="150"/>
    <x v="68"/>
    <x v="336"/>
    <x v="95"/>
    <x v="82"/>
    <x v="0"/>
  </r>
  <r>
    <x v="0"/>
    <x v="32"/>
    <x v="32"/>
    <x v="1"/>
    <x v="1"/>
    <x v="1"/>
    <x v="10"/>
    <x v="146"/>
    <x v="150"/>
    <x v="55"/>
    <x v="337"/>
    <x v="53"/>
    <x v="184"/>
    <x v="0"/>
  </r>
  <r>
    <x v="0"/>
    <x v="32"/>
    <x v="32"/>
    <x v="76"/>
    <x v="76"/>
    <x v="76"/>
    <x v="10"/>
    <x v="146"/>
    <x v="150"/>
    <x v="68"/>
    <x v="336"/>
    <x v="95"/>
    <x v="82"/>
    <x v="0"/>
  </r>
  <r>
    <x v="0"/>
    <x v="32"/>
    <x v="32"/>
    <x v="17"/>
    <x v="17"/>
    <x v="17"/>
    <x v="13"/>
    <x v="147"/>
    <x v="94"/>
    <x v="80"/>
    <x v="338"/>
    <x v="70"/>
    <x v="274"/>
    <x v="0"/>
  </r>
  <r>
    <x v="0"/>
    <x v="32"/>
    <x v="32"/>
    <x v="33"/>
    <x v="33"/>
    <x v="33"/>
    <x v="19"/>
    <x v="148"/>
    <x v="60"/>
    <x v="80"/>
    <x v="338"/>
    <x v="53"/>
    <x v="184"/>
    <x v="0"/>
  </r>
  <r>
    <x v="0"/>
    <x v="32"/>
    <x v="32"/>
    <x v="8"/>
    <x v="8"/>
    <x v="8"/>
    <x v="19"/>
    <x v="148"/>
    <x v="60"/>
    <x v="78"/>
    <x v="218"/>
    <x v="98"/>
    <x v="168"/>
    <x v="0"/>
  </r>
  <r>
    <x v="0"/>
    <x v="32"/>
    <x v="32"/>
    <x v="66"/>
    <x v="66"/>
    <x v="66"/>
    <x v="15"/>
    <x v="149"/>
    <x v="258"/>
    <x v="120"/>
    <x v="211"/>
    <x v="94"/>
    <x v="182"/>
    <x v="0"/>
  </r>
  <r>
    <x v="0"/>
    <x v="32"/>
    <x v="32"/>
    <x v="19"/>
    <x v="19"/>
    <x v="19"/>
    <x v="15"/>
    <x v="149"/>
    <x v="258"/>
    <x v="115"/>
    <x v="240"/>
    <x v="53"/>
    <x v="184"/>
    <x v="0"/>
  </r>
  <r>
    <x v="0"/>
    <x v="32"/>
    <x v="32"/>
    <x v="70"/>
    <x v="70"/>
    <x v="70"/>
    <x v="15"/>
    <x v="149"/>
    <x v="258"/>
    <x v="80"/>
    <x v="338"/>
    <x v="95"/>
    <x v="82"/>
    <x v="0"/>
  </r>
  <r>
    <x v="0"/>
    <x v="32"/>
    <x v="32"/>
    <x v="95"/>
    <x v="95"/>
    <x v="95"/>
    <x v="15"/>
    <x v="149"/>
    <x v="258"/>
    <x v="55"/>
    <x v="337"/>
    <x v="98"/>
    <x v="168"/>
    <x v="0"/>
  </r>
  <r>
    <x v="0"/>
    <x v="32"/>
    <x v="32"/>
    <x v="34"/>
    <x v="34"/>
    <x v="34"/>
    <x v="15"/>
    <x v="149"/>
    <x v="258"/>
    <x v="55"/>
    <x v="337"/>
    <x v="98"/>
    <x v="168"/>
    <x v="0"/>
  </r>
  <r>
    <x v="0"/>
    <x v="32"/>
    <x v="32"/>
    <x v="96"/>
    <x v="96"/>
    <x v="96"/>
    <x v="15"/>
    <x v="149"/>
    <x v="258"/>
    <x v="80"/>
    <x v="338"/>
    <x v="95"/>
    <x v="82"/>
    <x v="0"/>
  </r>
  <r>
    <x v="0"/>
    <x v="32"/>
    <x v="32"/>
    <x v="11"/>
    <x v="11"/>
    <x v="11"/>
    <x v="15"/>
    <x v="149"/>
    <x v="258"/>
    <x v="55"/>
    <x v="337"/>
    <x v="98"/>
    <x v="168"/>
    <x v="0"/>
  </r>
  <r>
    <x v="0"/>
    <x v="33"/>
    <x v="33"/>
    <x v="3"/>
    <x v="3"/>
    <x v="3"/>
    <x v="0"/>
    <x v="87"/>
    <x v="259"/>
    <x v="55"/>
    <x v="70"/>
    <x v="59"/>
    <x v="276"/>
    <x v="0"/>
  </r>
  <r>
    <x v="0"/>
    <x v="33"/>
    <x v="33"/>
    <x v="6"/>
    <x v="6"/>
    <x v="6"/>
    <x v="1"/>
    <x v="138"/>
    <x v="260"/>
    <x v="113"/>
    <x v="339"/>
    <x v="94"/>
    <x v="174"/>
    <x v="0"/>
  </r>
  <r>
    <x v="0"/>
    <x v="33"/>
    <x v="33"/>
    <x v="2"/>
    <x v="2"/>
    <x v="2"/>
    <x v="2"/>
    <x v="122"/>
    <x v="261"/>
    <x v="45"/>
    <x v="340"/>
    <x v="95"/>
    <x v="277"/>
    <x v="0"/>
  </r>
  <r>
    <x v="0"/>
    <x v="33"/>
    <x v="33"/>
    <x v="0"/>
    <x v="0"/>
    <x v="0"/>
    <x v="2"/>
    <x v="122"/>
    <x v="261"/>
    <x v="113"/>
    <x v="339"/>
    <x v="98"/>
    <x v="168"/>
    <x v="0"/>
  </r>
  <r>
    <x v="0"/>
    <x v="33"/>
    <x v="33"/>
    <x v="13"/>
    <x v="13"/>
    <x v="13"/>
    <x v="4"/>
    <x v="124"/>
    <x v="262"/>
    <x v="74"/>
    <x v="41"/>
    <x v="80"/>
    <x v="125"/>
    <x v="0"/>
  </r>
  <r>
    <x v="0"/>
    <x v="33"/>
    <x v="33"/>
    <x v="12"/>
    <x v="12"/>
    <x v="12"/>
    <x v="4"/>
    <x v="124"/>
    <x v="262"/>
    <x v="86"/>
    <x v="341"/>
    <x v="94"/>
    <x v="174"/>
    <x v="0"/>
  </r>
  <r>
    <x v="0"/>
    <x v="33"/>
    <x v="33"/>
    <x v="7"/>
    <x v="7"/>
    <x v="7"/>
    <x v="6"/>
    <x v="125"/>
    <x v="187"/>
    <x v="78"/>
    <x v="68"/>
    <x v="48"/>
    <x v="278"/>
    <x v="0"/>
  </r>
  <r>
    <x v="0"/>
    <x v="33"/>
    <x v="33"/>
    <x v="17"/>
    <x v="17"/>
    <x v="17"/>
    <x v="7"/>
    <x v="130"/>
    <x v="180"/>
    <x v="120"/>
    <x v="211"/>
    <x v="78"/>
    <x v="135"/>
    <x v="0"/>
  </r>
  <r>
    <x v="0"/>
    <x v="33"/>
    <x v="33"/>
    <x v="14"/>
    <x v="14"/>
    <x v="14"/>
    <x v="8"/>
    <x v="153"/>
    <x v="181"/>
    <x v="80"/>
    <x v="342"/>
    <x v="80"/>
    <x v="125"/>
    <x v="0"/>
  </r>
  <r>
    <x v="0"/>
    <x v="33"/>
    <x v="33"/>
    <x v="40"/>
    <x v="40"/>
    <x v="40"/>
    <x v="9"/>
    <x v="147"/>
    <x v="263"/>
    <x v="55"/>
    <x v="70"/>
    <x v="53"/>
    <x v="21"/>
    <x v="0"/>
  </r>
  <r>
    <x v="0"/>
    <x v="33"/>
    <x v="33"/>
    <x v="28"/>
    <x v="28"/>
    <x v="28"/>
    <x v="9"/>
    <x v="147"/>
    <x v="263"/>
    <x v="55"/>
    <x v="70"/>
    <x v="53"/>
    <x v="21"/>
    <x v="0"/>
  </r>
  <r>
    <x v="0"/>
    <x v="33"/>
    <x v="33"/>
    <x v="27"/>
    <x v="27"/>
    <x v="27"/>
    <x v="9"/>
    <x v="147"/>
    <x v="263"/>
    <x v="115"/>
    <x v="343"/>
    <x v="94"/>
    <x v="174"/>
    <x v="0"/>
  </r>
  <r>
    <x v="0"/>
    <x v="33"/>
    <x v="33"/>
    <x v="33"/>
    <x v="33"/>
    <x v="33"/>
    <x v="9"/>
    <x v="147"/>
    <x v="263"/>
    <x v="115"/>
    <x v="343"/>
    <x v="94"/>
    <x v="174"/>
    <x v="0"/>
  </r>
  <r>
    <x v="0"/>
    <x v="33"/>
    <x v="33"/>
    <x v="10"/>
    <x v="10"/>
    <x v="10"/>
    <x v="9"/>
    <x v="147"/>
    <x v="263"/>
    <x v="80"/>
    <x v="342"/>
    <x v="70"/>
    <x v="279"/>
    <x v="0"/>
  </r>
  <r>
    <x v="0"/>
    <x v="33"/>
    <x v="33"/>
    <x v="20"/>
    <x v="20"/>
    <x v="20"/>
    <x v="9"/>
    <x v="147"/>
    <x v="263"/>
    <x v="80"/>
    <x v="342"/>
    <x v="70"/>
    <x v="279"/>
    <x v="0"/>
  </r>
  <r>
    <x v="0"/>
    <x v="33"/>
    <x v="33"/>
    <x v="34"/>
    <x v="34"/>
    <x v="34"/>
    <x v="9"/>
    <x v="147"/>
    <x v="263"/>
    <x v="78"/>
    <x v="68"/>
    <x v="95"/>
    <x v="277"/>
    <x v="0"/>
  </r>
  <r>
    <x v="0"/>
    <x v="33"/>
    <x v="33"/>
    <x v="5"/>
    <x v="5"/>
    <x v="5"/>
    <x v="9"/>
    <x v="147"/>
    <x v="263"/>
    <x v="68"/>
    <x v="344"/>
    <x v="98"/>
    <x v="168"/>
    <x v="0"/>
  </r>
  <r>
    <x v="0"/>
    <x v="33"/>
    <x v="33"/>
    <x v="97"/>
    <x v="97"/>
    <x v="97"/>
    <x v="16"/>
    <x v="148"/>
    <x v="264"/>
    <x v="72"/>
    <x v="71"/>
    <x v="94"/>
    <x v="174"/>
    <x v="0"/>
  </r>
  <r>
    <x v="0"/>
    <x v="33"/>
    <x v="33"/>
    <x v="79"/>
    <x v="79"/>
    <x v="79"/>
    <x v="16"/>
    <x v="148"/>
    <x v="264"/>
    <x v="115"/>
    <x v="343"/>
    <x v="70"/>
    <x v="279"/>
    <x v="0"/>
  </r>
  <r>
    <x v="0"/>
    <x v="33"/>
    <x v="33"/>
    <x v="31"/>
    <x v="31"/>
    <x v="31"/>
    <x v="16"/>
    <x v="148"/>
    <x v="264"/>
    <x v="80"/>
    <x v="342"/>
    <x v="53"/>
    <x v="21"/>
    <x v="0"/>
  </r>
  <r>
    <x v="0"/>
    <x v="33"/>
    <x v="33"/>
    <x v="1"/>
    <x v="1"/>
    <x v="1"/>
    <x v="16"/>
    <x v="148"/>
    <x v="264"/>
    <x v="115"/>
    <x v="343"/>
    <x v="70"/>
    <x v="279"/>
    <x v="0"/>
  </r>
  <r>
    <x v="0"/>
    <x v="33"/>
    <x v="33"/>
    <x v="25"/>
    <x v="25"/>
    <x v="25"/>
    <x v="16"/>
    <x v="148"/>
    <x v="264"/>
    <x v="115"/>
    <x v="343"/>
    <x v="70"/>
    <x v="279"/>
    <x v="0"/>
  </r>
  <r>
    <x v="0"/>
    <x v="33"/>
    <x v="33"/>
    <x v="11"/>
    <x v="11"/>
    <x v="11"/>
    <x v="16"/>
    <x v="148"/>
    <x v="264"/>
    <x v="115"/>
    <x v="343"/>
    <x v="70"/>
    <x v="279"/>
    <x v="0"/>
  </r>
  <r>
    <x v="0"/>
    <x v="33"/>
    <x v="33"/>
    <x v="8"/>
    <x v="8"/>
    <x v="8"/>
    <x v="16"/>
    <x v="148"/>
    <x v="264"/>
    <x v="78"/>
    <x v="68"/>
    <x v="98"/>
    <x v="168"/>
    <x v="0"/>
  </r>
  <r>
    <x v="0"/>
    <x v="34"/>
    <x v="34"/>
    <x v="1"/>
    <x v="1"/>
    <x v="1"/>
    <x v="0"/>
    <x v="138"/>
    <x v="265"/>
    <x v="50"/>
    <x v="345"/>
    <x v="53"/>
    <x v="280"/>
    <x v="0"/>
  </r>
  <r>
    <x v="0"/>
    <x v="34"/>
    <x v="34"/>
    <x v="19"/>
    <x v="19"/>
    <x v="19"/>
    <x v="1"/>
    <x v="137"/>
    <x v="266"/>
    <x v="115"/>
    <x v="346"/>
    <x v="76"/>
    <x v="281"/>
    <x v="0"/>
  </r>
  <r>
    <x v="0"/>
    <x v="34"/>
    <x v="34"/>
    <x v="6"/>
    <x v="6"/>
    <x v="6"/>
    <x v="2"/>
    <x v="128"/>
    <x v="147"/>
    <x v="55"/>
    <x v="148"/>
    <x v="48"/>
    <x v="195"/>
    <x v="0"/>
  </r>
  <r>
    <x v="0"/>
    <x v="34"/>
    <x v="34"/>
    <x v="3"/>
    <x v="3"/>
    <x v="3"/>
    <x v="3"/>
    <x v="130"/>
    <x v="2"/>
    <x v="72"/>
    <x v="347"/>
    <x v="77"/>
    <x v="282"/>
    <x v="0"/>
  </r>
  <r>
    <x v="0"/>
    <x v="34"/>
    <x v="34"/>
    <x v="84"/>
    <x v="84"/>
    <x v="84"/>
    <x v="4"/>
    <x v="153"/>
    <x v="141"/>
    <x v="120"/>
    <x v="211"/>
    <x v="77"/>
    <x v="282"/>
    <x v="0"/>
  </r>
  <r>
    <x v="0"/>
    <x v="34"/>
    <x v="34"/>
    <x v="10"/>
    <x v="10"/>
    <x v="10"/>
    <x v="4"/>
    <x v="153"/>
    <x v="141"/>
    <x v="80"/>
    <x v="348"/>
    <x v="80"/>
    <x v="94"/>
    <x v="0"/>
  </r>
  <r>
    <x v="0"/>
    <x v="34"/>
    <x v="34"/>
    <x v="2"/>
    <x v="2"/>
    <x v="2"/>
    <x v="6"/>
    <x v="146"/>
    <x v="39"/>
    <x v="78"/>
    <x v="349"/>
    <x v="53"/>
    <x v="280"/>
    <x v="0"/>
  </r>
  <r>
    <x v="0"/>
    <x v="34"/>
    <x v="34"/>
    <x v="0"/>
    <x v="0"/>
    <x v="0"/>
    <x v="6"/>
    <x v="146"/>
    <x v="39"/>
    <x v="68"/>
    <x v="350"/>
    <x v="95"/>
    <x v="102"/>
    <x v="0"/>
  </r>
  <r>
    <x v="0"/>
    <x v="34"/>
    <x v="34"/>
    <x v="13"/>
    <x v="13"/>
    <x v="13"/>
    <x v="8"/>
    <x v="147"/>
    <x v="128"/>
    <x v="115"/>
    <x v="346"/>
    <x v="94"/>
    <x v="69"/>
    <x v="0"/>
  </r>
  <r>
    <x v="0"/>
    <x v="34"/>
    <x v="34"/>
    <x v="31"/>
    <x v="31"/>
    <x v="31"/>
    <x v="8"/>
    <x v="147"/>
    <x v="128"/>
    <x v="55"/>
    <x v="148"/>
    <x v="53"/>
    <x v="280"/>
    <x v="0"/>
  </r>
  <r>
    <x v="0"/>
    <x v="34"/>
    <x v="34"/>
    <x v="79"/>
    <x v="79"/>
    <x v="79"/>
    <x v="10"/>
    <x v="148"/>
    <x v="94"/>
    <x v="120"/>
    <x v="211"/>
    <x v="80"/>
    <x v="94"/>
    <x v="0"/>
  </r>
  <r>
    <x v="0"/>
    <x v="34"/>
    <x v="34"/>
    <x v="98"/>
    <x v="98"/>
    <x v="98"/>
    <x v="10"/>
    <x v="148"/>
    <x v="94"/>
    <x v="120"/>
    <x v="211"/>
    <x v="80"/>
    <x v="94"/>
    <x v="0"/>
  </r>
  <r>
    <x v="0"/>
    <x v="34"/>
    <x v="34"/>
    <x v="32"/>
    <x v="32"/>
    <x v="32"/>
    <x v="10"/>
    <x v="148"/>
    <x v="94"/>
    <x v="115"/>
    <x v="346"/>
    <x v="70"/>
    <x v="84"/>
    <x v="0"/>
  </r>
  <r>
    <x v="0"/>
    <x v="34"/>
    <x v="34"/>
    <x v="33"/>
    <x v="33"/>
    <x v="33"/>
    <x v="10"/>
    <x v="148"/>
    <x v="94"/>
    <x v="120"/>
    <x v="211"/>
    <x v="80"/>
    <x v="94"/>
    <x v="0"/>
  </r>
  <r>
    <x v="0"/>
    <x v="34"/>
    <x v="34"/>
    <x v="99"/>
    <x v="99"/>
    <x v="99"/>
    <x v="10"/>
    <x v="148"/>
    <x v="94"/>
    <x v="120"/>
    <x v="211"/>
    <x v="80"/>
    <x v="94"/>
    <x v="0"/>
  </r>
  <r>
    <x v="0"/>
    <x v="34"/>
    <x v="34"/>
    <x v="5"/>
    <x v="5"/>
    <x v="5"/>
    <x v="10"/>
    <x v="148"/>
    <x v="94"/>
    <x v="80"/>
    <x v="348"/>
    <x v="53"/>
    <x v="280"/>
    <x v="0"/>
  </r>
  <r>
    <x v="0"/>
    <x v="34"/>
    <x v="34"/>
    <x v="36"/>
    <x v="36"/>
    <x v="36"/>
    <x v="10"/>
    <x v="148"/>
    <x v="94"/>
    <x v="120"/>
    <x v="211"/>
    <x v="80"/>
    <x v="94"/>
    <x v="0"/>
  </r>
  <r>
    <x v="0"/>
    <x v="34"/>
    <x v="34"/>
    <x v="14"/>
    <x v="14"/>
    <x v="14"/>
    <x v="16"/>
    <x v="149"/>
    <x v="142"/>
    <x v="115"/>
    <x v="346"/>
    <x v="53"/>
    <x v="280"/>
    <x v="0"/>
  </r>
  <r>
    <x v="0"/>
    <x v="34"/>
    <x v="34"/>
    <x v="20"/>
    <x v="20"/>
    <x v="20"/>
    <x v="16"/>
    <x v="149"/>
    <x v="142"/>
    <x v="72"/>
    <x v="347"/>
    <x v="70"/>
    <x v="84"/>
    <x v="0"/>
  </r>
  <r>
    <x v="0"/>
    <x v="34"/>
    <x v="34"/>
    <x v="9"/>
    <x v="9"/>
    <x v="9"/>
    <x v="16"/>
    <x v="149"/>
    <x v="142"/>
    <x v="115"/>
    <x v="346"/>
    <x v="53"/>
    <x v="280"/>
    <x v="0"/>
  </r>
  <r>
    <x v="0"/>
    <x v="34"/>
    <x v="34"/>
    <x v="11"/>
    <x v="11"/>
    <x v="11"/>
    <x v="16"/>
    <x v="149"/>
    <x v="142"/>
    <x v="55"/>
    <x v="148"/>
    <x v="98"/>
    <x v="168"/>
    <x v="0"/>
  </r>
  <r>
    <x v="0"/>
    <x v="34"/>
    <x v="34"/>
    <x v="12"/>
    <x v="12"/>
    <x v="12"/>
    <x v="16"/>
    <x v="149"/>
    <x v="142"/>
    <x v="80"/>
    <x v="348"/>
    <x v="95"/>
    <x v="102"/>
    <x v="0"/>
  </r>
  <r>
    <x v="0"/>
    <x v="35"/>
    <x v="35"/>
    <x v="3"/>
    <x v="3"/>
    <x v="3"/>
    <x v="0"/>
    <x v="123"/>
    <x v="244"/>
    <x v="68"/>
    <x v="263"/>
    <x v="61"/>
    <x v="283"/>
    <x v="0"/>
  </r>
  <r>
    <x v="0"/>
    <x v="35"/>
    <x v="35"/>
    <x v="0"/>
    <x v="0"/>
    <x v="0"/>
    <x v="1"/>
    <x v="127"/>
    <x v="267"/>
    <x v="77"/>
    <x v="351"/>
    <x v="53"/>
    <x v="284"/>
    <x v="0"/>
  </r>
  <r>
    <x v="0"/>
    <x v="35"/>
    <x v="35"/>
    <x v="13"/>
    <x v="13"/>
    <x v="13"/>
    <x v="2"/>
    <x v="138"/>
    <x v="268"/>
    <x v="86"/>
    <x v="204"/>
    <x v="78"/>
    <x v="285"/>
    <x v="0"/>
  </r>
  <r>
    <x v="0"/>
    <x v="35"/>
    <x v="35"/>
    <x v="6"/>
    <x v="6"/>
    <x v="6"/>
    <x v="3"/>
    <x v="120"/>
    <x v="169"/>
    <x v="45"/>
    <x v="352"/>
    <x v="94"/>
    <x v="111"/>
    <x v="0"/>
  </r>
  <r>
    <x v="0"/>
    <x v="35"/>
    <x v="35"/>
    <x v="8"/>
    <x v="8"/>
    <x v="8"/>
    <x v="3"/>
    <x v="120"/>
    <x v="169"/>
    <x v="50"/>
    <x v="353"/>
    <x v="95"/>
    <x v="2"/>
    <x v="0"/>
  </r>
  <r>
    <x v="0"/>
    <x v="35"/>
    <x v="35"/>
    <x v="11"/>
    <x v="11"/>
    <x v="11"/>
    <x v="5"/>
    <x v="121"/>
    <x v="269"/>
    <x v="113"/>
    <x v="101"/>
    <x v="53"/>
    <x v="284"/>
    <x v="0"/>
  </r>
  <r>
    <x v="0"/>
    <x v="35"/>
    <x v="35"/>
    <x v="12"/>
    <x v="12"/>
    <x v="12"/>
    <x v="5"/>
    <x v="121"/>
    <x v="269"/>
    <x v="45"/>
    <x v="352"/>
    <x v="70"/>
    <x v="232"/>
    <x v="0"/>
  </r>
  <r>
    <x v="0"/>
    <x v="35"/>
    <x v="35"/>
    <x v="17"/>
    <x v="17"/>
    <x v="17"/>
    <x v="7"/>
    <x v="137"/>
    <x v="79"/>
    <x v="115"/>
    <x v="354"/>
    <x v="76"/>
    <x v="286"/>
    <x v="0"/>
  </r>
  <r>
    <x v="0"/>
    <x v="35"/>
    <x v="35"/>
    <x v="1"/>
    <x v="1"/>
    <x v="1"/>
    <x v="7"/>
    <x v="137"/>
    <x v="79"/>
    <x v="68"/>
    <x v="263"/>
    <x v="77"/>
    <x v="252"/>
    <x v="0"/>
  </r>
  <r>
    <x v="0"/>
    <x v="35"/>
    <x v="35"/>
    <x v="40"/>
    <x v="40"/>
    <x v="40"/>
    <x v="9"/>
    <x v="125"/>
    <x v="270"/>
    <x v="67"/>
    <x v="180"/>
    <x v="80"/>
    <x v="287"/>
    <x v="0"/>
  </r>
  <r>
    <x v="0"/>
    <x v="35"/>
    <x v="35"/>
    <x v="14"/>
    <x v="14"/>
    <x v="14"/>
    <x v="9"/>
    <x v="125"/>
    <x v="270"/>
    <x v="74"/>
    <x v="355"/>
    <x v="94"/>
    <x v="111"/>
    <x v="0"/>
  </r>
  <r>
    <x v="0"/>
    <x v="35"/>
    <x v="35"/>
    <x v="2"/>
    <x v="2"/>
    <x v="2"/>
    <x v="9"/>
    <x v="125"/>
    <x v="270"/>
    <x v="69"/>
    <x v="356"/>
    <x v="98"/>
    <x v="168"/>
    <x v="0"/>
  </r>
  <r>
    <x v="0"/>
    <x v="35"/>
    <x v="35"/>
    <x v="16"/>
    <x v="16"/>
    <x v="16"/>
    <x v="12"/>
    <x v="128"/>
    <x v="271"/>
    <x v="80"/>
    <x v="14"/>
    <x v="77"/>
    <x v="252"/>
    <x v="0"/>
  </r>
  <r>
    <x v="0"/>
    <x v="35"/>
    <x v="35"/>
    <x v="33"/>
    <x v="33"/>
    <x v="33"/>
    <x v="12"/>
    <x v="128"/>
    <x v="271"/>
    <x v="55"/>
    <x v="357"/>
    <x v="48"/>
    <x v="97"/>
    <x v="0"/>
  </r>
  <r>
    <x v="0"/>
    <x v="35"/>
    <x v="35"/>
    <x v="20"/>
    <x v="20"/>
    <x v="20"/>
    <x v="12"/>
    <x v="128"/>
    <x v="271"/>
    <x v="80"/>
    <x v="14"/>
    <x v="77"/>
    <x v="252"/>
    <x v="0"/>
  </r>
  <r>
    <x v="0"/>
    <x v="35"/>
    <x v="35"/>
    <x v="28"/>
    <x v="28"/>
    <x v="28"/>
    <x v="14"/>
    <x v="129"/>
    <x v="93"/>
    <x v="55"/>
    <x v="357"/>
    <x v="82"/>
    <x v="288"/>
    <x v="0"/>
  </r>
  <r>
    <x v="0"/>
    <x v="35"/>
    <x v="35"/>
    <x v="27"/>
    <x v="27"/>
    <x v="27"/>
    <x v="14"/>
    <x v="129"/>
    <x v="93"/>
    <x v="120"/>
    <x v="211"/>
    <x v="92"/>
    <x v="289"/>
    <x v="0"/>
  </r>
  <r>
    <x v="0"/>
    <x v="35"/>
    <x v="35"/>
    <x v="86"/>
    <x v="86"/>
    <x v="86"/>
    <x v="16"/>
    <x v="153"/>
    <x v="61"/>
    <x v="78"/>
    <x v="358"/>
    <x v="70"/>
    <x v="232"/>
    <x v="0"/>
  </r>
  <r>
    <x v="0"/>
    <x v="35"/>
    <x v="35"/>
    <x v="82"/>
    <x v="82"/>
    <x v="82"/>
    <x v="17"/>
    <x v="146"/>
    <x v="272"/>
    <x v="120"/>
    <x v="211"/>
    <x v="48"/>
    <x v="97"/>
    <x v="0"/>
  </r>
  <r>
    <x v="0"/>
    <x v="35"/>
    <x v="35"/>
    <x v="48"/>
    <x v="48"/>
    <x v="48"/>
    <x v="17"/>
    <x v="146"/>
    <x v="272"/>
    <x v="80"/>
    <x v="14"/>
    <x v="94"/>
    <x v="111"/>
    <x v="0"/>
  </r>
  <r>
    <x v="0"/>
    <x v="36"/>
    <x v="36"/>
    <x v="0"/>
    <x v="0"/>
    <x v="0"/>
    <x v="0"/>
    <x v="122"/>
    <x v="259"/>
    <x v="113"/>
    <x v="359"/>
    <x v="98"/>
    <x v="168"/>
    <x v="0"/>
  </r>
  <r>
    <x v="0"/>
    <x v="36"/>
    <x v="36"/>
    <x v="2"/>
    <x v="2"/>
    <x v="2"/>
    <x v="1"/>
    <x v="125"/>
    <x v="273"/>
    <x v="88"/>
    <x v="360"/>
    <x v="95"/>
    <x v="133"/>
    <x v="0"/>
  </r>
  <r>
    <x v="0"/>
    <x v="36"/>
    <x v="36"/>
    <x v="3"/>
    <x v="3"/>
    <x v="3"/>
    <x v="2"/>
    <x v="129"/>
    <x v="219"/>
    <x v="80"/>
    <x v="236"/>
    <x v="48"/>
    <x v="290"/>
    <x v="0"/>
  </r>
  <r>
    <x v="0"/>
    <x v="36"/>
    <x v="36"/>
    <x v="12"/>
    <x v="12"/>
    <x v="12"/>
    <x v="2"/>
    <x v="129"/>
    <x v="219"/>
    <x v="74"/>
    <x v="361"/>
    <x v="53"/>
    <x v="90"/>
    <x v="0"/>
  </r>
  <r>
    <x v="0"/>
    <x v="36"/>
    <x v="36"/>
    <x v="17"/>
    <x v="17"/>
    <x v="17"/>
    <x v="4"/>
    <x v="130"/>
    <x v="220"/>
    <x v="115"/>
    <x v="362"/>
    <x v="48"/>
    <x v="290"/>
    <x v="0"/>
  </r>
  <r>
    <x v="0"/>
    <x v="36"/>
    <x v="36"/>
    <x v="7"/>
    <x v="7"/>
    <x v="7"/>
    <x v="4"/>
    <x v="130"/>
    <x v="220"/>
    <x v="68"/>
    <x v="363"/>
    <x v="70"/>
    <x v="253"/>
    <x v="0"/>
  </r>
  <r>
    <x v="0"/>
    <x v="36"/>
    <x v="36"/>
    <x v="28"/>
    <x v="28"/>
    <x v="28"/>
    <x v="6"/>
    <x v="146"/>
    <x v="221"/>
    <x v="55"/>
    <x v="364"/>
    <x v="70"/>
    <x v="253"/>
    <x v="0"/>
  </r>
  <r>
    <x v="0"/>
    <x v="36"/>
    <x v="36"/>
    <x v="27"/>
    <x v="27"/>
    <x v="27"/>
    <x v="6"/>
    <x v="146"/>
    <x v="221"/>
    <x v="55"/>
    <x v="364"/>
    <x v="70"/>
    <x v="253"/>
    <x v="0"/>
  </r>
  <r>
    <x v="0"/>
    <x v="36"/>
    <x v="36"/>
    <x v="6"/>
    <x v="6"/>
    <x v="6"/>
    <x v="6"/>
    <x v="146"/>
    <x v="221"/>
    <x v="78"/>
    <x v="137"/>
    <x v="53"/>
    <x v="90"/>
    <x v="0"/>
  </r>
  <r>
    <x v="0"/>
    <x v="36"/>
    <x v="36"/>
    <x v="10"/>
    <x v="10"/>
    <x v="10"/>
    <x v="6"/>
    <x v="146"/>
    <x v="221"/>
    <x v="68"/>
    <x v="363"/>
    <x v="95"/>
    <x v="133"/>
    <x v="0"/>
  </r>
  <r>
    <x v="0"/>
    <x v="36"/>
    <x v="36"/>
    <x v="1"/>
    <x v="1"/>
    <x v="1"/>
    <x v="6"/>
    <x v="146"/>
    <x v="221"/>
    <x v="78"/>
    <x v="137"/>
    <x v="53"/>
    <x v="90"/>
    <x v="0"/>
  </r>
  <r>
    <x v="0"/>
    <x v="36"/>
    <x v="36"/>
    <x v="5"/>
    <x v="5"/>
    <x v="5"/>
    <x v="6"/>
    <x v="146"/>
    <x v="221"/>
    <x v="78"/>
    <x v="137"/>
    <x v="53"/>
    <x v="90"/>
    <x v="0"/>
  </r>
  <r>
    <x v="0"/>
    <x v="36"/>
    <x v="36"/>
    <x v="13"/>
    <x v="13"/>
    <x v="13"/>
    <x v="12"/>
    <x v="147"/>
    <x v="222"/>
    <x v="120"/>
    <x v="211"/>
    <x v="82"/>
    <x v="291"/>
    <x v="0"/>
  </r>
  <r>
    <x v="0"/>
    <x v="36"/>
    <x v="36"/>
    <x v="63"/>
    <x v="63"/>
    <x v="63"/>
    <x v="12"/>
    <x v="147"/>
    <x v="222"/>
    <x v="115"/>
    <x v="362"/>
    <x v="94"/>
    <x v="208"/>
    <x v="0"/>
  </r>
  <r>
    <x v="0"/>
    <x v="36"/>
    <x v="36"/>
    <x v="100"/>
    <x v="100"/>
    <x v="100"/>
    <x v="19"/>
    <x v="148"/>
    <x v="182"/>
    <x v="115"/>
    <x v="362"/>
    <x v="70"/>
    <x v="253"/>
    <x v="0"/>
  </r>
  <r>
    <x v="0"/>
    <x v="36"/>
    <x v="36"/>
    <x v="86"/>
    <x v="86"/>
    <x v="86"/>
    <x v="19"/>
    <x v="148"/>
    <x v="182"/>
    <x v="55"/>
    <x v="364"/>
    <x v="95"/>
    <x v="133"/>
    <x v="0"/>
  </r>
  <r>
    <x v="0"/>
    <x v="36"/>
    <x v="36"/>
    <x v="29"/>
    <x v="29"/>
    <x v="29"/>
    <x v="19"/>
    <x v="148"/>
    <x v="182"/>
    <x v="120"/>
    <x v="211"/>
    <x v="80"/>
    <x v="292"/>
    <x v="0"/>
  </r>
  <r>
    <x v="0"/>
    <x v="36"/>
    <x v="36"/>
    <x v="79"/>
    <x v="79"/>
    <x v="79"/>
    <x v="19"/>
    <x v="148"/>
    <x v="182"/>
    <x v="72"/>
    <x v="17"/>
    <x v="94"/>
    <x v="208"/>
    <x v="0"/>
  </r>
  <r>
    <x v="0"/>
    <x v="36"/>
    <x v="36"/>
    <x v="68"/>
    <x v="68"/>
    <x v="68"/>
    <x v="19"/>
    <x v="148"/>
    <x v="182"/>
    <x v="80"/>
    <x v="236"/>
    <x v="53"/>
    <x v="90"/>
    <x v="0"/>
  </r>
  <r>
    <x v="0"/>
    <x v="36"/>
    <x v="36"/>
    <x v="32"/>
    <x v="32"/>
    <x v="32"/>
    <x v="19"/>
    <x v="148"/>
    <x v="182"/>
    <x v="55"/>
    <x v="364"/>
    <x v="95"/>
    <x v="133"/>
    <x v="0"/>
  </r>
  <r>
    <x v="0"/>
    <x v="36"/>
    <x v="36"/>
    <x v="33"/>
    <x v="33"/>
    <x v="33"/>
    <x v="19"/>
    <x v="148"/>
    <x v="182"/>
    <x v="115"/>
    <x v="362"/>
    <x v="70"/>
    <x v="253"/>
    <x v="0"/>
  </r>
  <r>
    <x v="0"/>
    <x v="36"/>
    <x v="36"/>
    <x v="41"/>
    <x v="41"/>
    <x v="41"/>
    <x v="19"/>
    <x v="148"/>
    <x v="182"/>
    <x v="120"/>
    <x v="211"/>
    <x v="80"/>
    <x v="292"/>
    <x v="0"/>
  </r>
  <r>
    <x v="0"/>
    <x v="37"/>
    <x v="37"/>
    <x v="7"/>
    <x v="7"/>
    <x v="7"/>
    <x v="0"/>
    <x v="85"/>
    <x v="274"/>
    <x v="105"/>
    <x v="365"/>
    <x v="80"/>
    <x v="293"/>
    <x v="3"/>
  </r>
  <r>
    <x v="0"/>
    <x v="37"/>
    <x v="37"/>
    <x v="2"/>
    <x v="2"/>
    <x v="2"/>
    <x v="1"/>
    <x v="87"/>
    <x v="275"/>
    <x v="62"/>
    <x v="366"/>
    <x v="98"/>
    <x v="168"/>
    <x v="0"/>
  </r>
  <r>
    <x v="0"/>
    <x v="37"/>
    <x v="37"/>
    <x v="9"/>
    <x v="9"/>
    <x v="9"/>
    <x v="2"/>
    <x v="120"/>
    <x v="276"/>
    <x v="105"/>
    <x v="365"/>
    <x v="53"/>
    <x v="225"/>
    <x v="0"/>
  </r>
  <r>
    <x v="0"/>
    <x v="37"/>
    <x v="37"/>
    <x v="5"/>
    <x v="5"/>
    <x v="5"/>
    <x v="3"/>
    <x v="121"/>
    <x v="112"/>
    <x v="105"/>
    <x v="365"/>
    <x v="95"/>
    <x v="255"/>
    <x v="0"/>
  </r>
  <r>
    <x v="0"/>
    <x v="37"/>
    <x v="37"/>
    <x v="0"/>
    <x v="0"/>
    <x v="0"/>
    <x v="3"/>
    <x v="121"/>
    <x v="112"/>
    <x v="105"/>
    <x v="365"/>
    <x v="95"/>
    <x v="255"/>
    <x v="0"/>
  </r>
  <r>
    <x v="0"/>
    <x v="37"/>
    <x v="37"/>
    <x v="3"/>
    <x v="3"/>
    <x v="3"/>
    <x v="5"/>
    <x v="124"/>
    <x v="161"/>
    <x v="78"/>
    <x v="140"/>
    <x v="77"/>
    <x v="224"/>
    <x v="0"/>
  </r>
  <r>
    <x v="0"/>
    <x v="37"/>
    <x v="37"/>
    <x v="1"/>
    <x v="1"/>
    <x v="1"/>
    <x v="5"/>
    <x v="124"/>
    <x v="161"/>
    <x v="88"/>
    <x v="367"/>
    <x v="53"/>
    <x v="225"/>
    <x v="0"/>
  </r>
  <r>
    <x v="0"/>
    <x v="37"/>
    <x v="37"/>
    <x v="6"/>
    <x v="6"/>
    <x v="6"/>
    <x v="7"/>
    <x v="125"/>
    <x v="50"/>
    <x v="68"/>
    <x v="235"/>
    <x v="82"/>
    <x v="223"/>
    <x v="0"/>
  </r>
  <r>
    <x v="0"/>
    <x v="37"/>
    <x v="37"/>
    <x v="34"/>
    <x v="34"/>
    <x v="34"/>
    <x v="8"/>
    <x v="128"/>
    <x v="79"/>
    <x v="74"/>
    <x v="138"/>
    <x v="53"/>
    <x v="225"/>
    <x v="3"/>
  </r>
  <r>
    <x v="0"/>
    <x v="37"/>
    <x v="37"/>
    <x v="4"/>
    <x v="4"/>
    <x v="4"/>
    <x v="8"/>
    <x v="128"/>
    <x v="79"/>
    <x v="70"/>
    <x v="29"/>
    <x v="95"/>
    <x v="255"/>
    <x v="0"/>
  </r>
  <r>
    <x v="0"/>
    <x v="37"/>
    <x v="37"/>
    <x v="33"/>
    <x v="33"/>
    <x v="33"/>
    <x v="10"/>
    <x v="129"/>
    <x v="102"/>
    <x v="120"/>
    <x v="211"/>
    <x v="92"/>
    <x v="294"/>
    <x v="0"/>
  </r>
  <r>
    <x v="0"/>
    <x v="37"/>
    <x v="37"/>
    <x v="10"/>
    <x v="10"/>
    <x v="10"/>
    <x v="11"/>
    <x v="130"/>
    <x v="277"/>
    <x v="68"/>
    <x v="235"/>
    <x v="70"/>
    <x v="295"/>
    <x v="0"/>
  </r>
  <r>
    <x v="0"/>
    <x v="37"/>
    <x v="37"/>
    <x v="38"/>
    <x v="38"/>
    <x v="38"/>
    <x v="12"/>
    <x v="153"/>
    <x v="117"/>
    <x v="67"/>
    <x v="149"/>
    <x v="95"/>
    <x v="255"/>
    <x v="0"/>
  </r>
  <r>
    <x v="0"/>
    <x v="37"/>
    <x v="37"/>
    <x v="12"/>
    <x v="12"/>
    <x v="12"/>
    <x v="12"/>
    <x v="153"/>
    <x v="117"/>
    <x v="78"/>
    <x v="140"/>
    <x v="70"/>
    <x v="295"/>
    <x v="0"/>
  </r>
  <r>
    <x v="0"/>
    <x v="37"/>
    <x v="37"/>
    <x v="17"/>
    <x v="17"/>
    <x v="17"/>
    <x v="19"/>
    <x v="146"/>
    <x v="105"/>
    <x v="120"/>
    <x v="211"/>
    <x v="48"/>
    <x v="296"/>
    <x v="0"/>
  </r>
  <r>
    <x v="0"/>
    <x v="37"/>
    <x v="37"/>
    <x v="13"/>
    <x v="13"/>
    <x v="13"/>
    <x v="19"/>
    <x v="146"/>
    <x v="105"/>
    <x v="78"/>
    <x v="140"/>
    <x v="53"/>
    <x v="225"/>
    <x v="0"/>
  </r>
  <r>
    <x v="0"/>
    <x v="37"/>
    <x v="37"/>
    <x v="74"/>
    <x v="74"/>
    <x v="74"/>
    <x v="19"/>
    <x v="146"/>
    <x v="105"/>
    <x v="67"/>
    <x v="149"/>
    <x v="98"/>
    <x v="168"/>
    <x v="0"/>
  </r>
  <r>
    <x v="0"/>
    <x v="37"/>
    <x v="37"/>
    <x v="72"/>
    <x v="72"/>
    <x v="72"/>
    <x v="16"/>
    <x v="147"/>
    <x v="60"/>
    <x v="115"/>
    <x v="255"/>
    <x v="94"/>
    <x v="143"/>
    <x v="0"/>
  </r>
  <r>
    <x v="0"/>
    <x v="37"/>
    <x v="37"/>
    <x v="45"/>
    <x v="45"/>
    <x v="45"/>
    <x v="16"/>
    <x v="147"/>
    <x v="60"/>
    <x v="120"/>
    <x v="211"/>
    <x v="82"/>
    <x v="223"/>
    <x v="0"/>
  </r>
  <r>
    <x v="0"/>
    <x v="37"/>
    <x v="37"/>
    <x v="27"/>
    <x v="27"/>
    <x v="27"/>
    <x v="18"/>
    <x v="148"/>
    <x v="278"/>
    <x v="55"/>
    <x v="368"/>
    <x v="95"/>
    <x v="255"/>
    <x v="0"/>
  </r>
  <r>
    <x v="0"/>
    <x v="37"/>
    <x v="37"/>
    <x v="29"/>
    <x v="29"/>
    <x v="29"/>
    <x v="18"/>
    <x v="148"/>
    <x v="278"/>
    <x v="72"/>
    <x v="144"/>
    <x v="94"/>
    <x v="143"/>
    <x v="0"/>
  </r>
  <r>
    <x v="0"/>
    <x v="37"/>
    <x v="37"/>
    <x v="79"/>
    <x v="79"/>
    <x v="79"/>
    <x v="18"/>
    <x v="148"/>
    <x v="278"/>
    <x v="72"/>
    <x v="144"/>
    <x v="94"/>
    <x v="143"/>
    <x v="0"/>
  </r>
  <r>
    <x v="0"/>
    <x v="37"/>
    <x v="37"/>
    <x v="69"/>
    <x v="69"/>
    <x v="69"/>
    <x v="18"/>
    <x v="148"/>
    <x v="278"/>
    <x v="80"/>
    <x v="143"/>
    <x v="53"/>
    <x v="225"/>
    <x v="0"/>
  </r>
  <r>
    <x v="0"/>
    <x v="37"/>
    <x v="37"/>
    <x v="32"/>
    <x v="32"/>
    <x v="32"/>
    <x v="18"/>
    <x v="148"/>
    <x v="278"/>
    <x v="55"/>
    <x v="368"/>
    <x v="95"/>
    <x v="255"/>
    <x v="0"/>
  </r>
  <r>
    <x v="0"/>
    <x v="37"/>
    <x v="37"/>
    <x v="46"/>
    <x v="46"/>
    <x v="46"/>
    <x v="18"/>
    <x v="148"/>
    <x v="278"/>
    <x v="80"/>
    <x v="143"/>
    <x v="53"/>
    <x v="225"/>
    <x v="0"/>
  </r>
  <r>
    <x v="0"/>
    <x v="37"/>
    <x v="37"/>
    <x v="76"/>
    <x v="76"/>
    <x v="76"/>
    <x v="18"/>
    <x v="148"/>
    <x v="278"/>
    <x v="80"/>
    <x v="143"/>
    <x v="53"/>
    <x v="225"/>
    <x v="0"/>
  </r>
  <r>
    <x v="0"/>
    <x v="37"/>
    <x v="37"/>
    <x v="41"/>
    <x v="41"/>
    <x v="41"/>
    <x v="18"/>
    <x v="148"/>
    <x v="278"/>
    <x v="120"/>
    <x v="211"/>
    <x v="80"/>
    <x v="293"/>
    <x v="0"/>
  </r>
  <r>
    <x v="0"/>
    <x v="38"/>
    <x v="38"/>
    <x v="0"/>
    <x v="0"/>
    <x v="0"/>
    <x v="0"/>
    <x v="137"/>
    <x v="153"/>
    <x v="105"/>
    <x v="369"/>
    <x v="98"/>
    <x v="168"/>
    <x v="0"/>
  </r>
  <r>
    <x v="0"/>
    <x v="38"/>
    <x v="38"/>
    <x v="3"/>
    <x v="3"/>
    <x v="3"/>
    <x v="1"/>
    <x v="124"/>
    <x v="77"/>
    <x v="68"/>
    <x v="370"/>
    <x v="48"/>
    <x v="297"/>
    <x v="0"/>
  </r>
  <r>
    <x v="0"/>
    <x v="38"/>
    <x v="38"/>
    <x v="13"/>
    <x v="13"/>
    <x v="13"/>
    <x v="2"/>
    <x v="128"/>
    <x v="99"/>
    <x v="74"/>
    <x v="371"/>
    <x v="70"/>
    <x v="298"/>
    <x v="0"/>
  </r>
  <r>
    <x v="0"/>
    <x v="38"/>
    <x v="38"/>
    <x v="12"/>
    <x v="12"/>
    <x v="12"/>
    <x v="2"/>
    <x v="128"/>
    <x v="99"/>
    <x v="86"/>
    <x v="161"/>
    <x v="53"/>
    <x v="203"/>
    <x v="0"/>
  </r>
  <r>
    <x v="0"/>
    <x v="38"/>
    <x v="38"/>
    <x v="17"/>
    <x v="17"/>
    <x v="17"/>
    <x v="4"/>
    <x v="153"/>
    <x v="52"/>
    <x v="78"/>
    <x v="336"/>
    <x v="70"/>
    <x v="298"/>
    <x v="0"/>
  </r>
  <r>
    <x v="0"/>
    <x v="38"/>
    <x v="38"/>
    <x v="14"/>
    <x v="14"/>
    <x v="14"/>
    <x v="4"/>
    <x v="153"/>
    <x v="52"/>
    <x v="80"/>
    <x v="131"/>
    <x v="80"/>
    <x v="299"/>
    <x v="0"/>
  </r>
  <r>
    <x v="0"/>
    <x v="38"/>
    <x v="38"/>
    <x v="6"/>
    <x v="6"/>
    <x v="6"/>
    <x v="4"/>
    <x v="153"/>
    <x v="52"/>
    <x v="67"/>
    <x v="173"/>
    <x v="95"/>
    <x v="198"/>
    <x v="0"/>
  </r>
  <r>
    <x v="0"/>
    <x v="38"/>
    <x v="38"/>
    <x v="2"/>
    <x v="2"/>
    <x v="2"/>
    <x v="4"/>
    <x v="153"/>
    <x v="52"/>
    <x v="74"/>
    <x v="371"/>
    <x v="98"/>
    <x v="168"/>
    <x v="0"/>
  </r>
  <r>
    <x v="0"/>
    <x v="38"/>
    <x v="38"/>
    <x v="8"/>
    <x v="8"/>
    <x v="8"/>
    <x v="4"/>
    <x v="153"/>
    <x v="52"/>
    <x v="67"/>
    <x v="173"/>
    <x v="95"/>
    <x v="198"/>
    <x v="0"/>
  </r>
  <r>
    <x v="0"/>
    <x v="38"/>
    <x v="38"/>
    <x v="11"/>
    <x v="11"/>
    <x v="11"/>
    <x v="9"/>
    <x v="146"/>
    <x v="279"/>
    <x v="67"/>
    <x v="173"/>
    <x v="98"/>
    <x v="168"/>
    <x v="0"/>
  </r>
  <r>
    <x v="0"/>
    <x v="38"/>
    <x v="38"/>
    <x v="45"/>
    <x v="45"/>
    <x v="45"/>
    <x v="9"/>
    <x v="146"/>
    <x v="279"/>
    <x v="120"/>
    <x v="211"/>
    <x v="48"/>
    <x v="297"/>
    <x v="0"/>
  </r>
  <r>
    <x v="0"/>
    <x v="38"/>
    <x v="38"/>
    <x v="29"/>
    <x v="29"/>
    <x v="29"/>
    <x v="11"/>
    <x v="147"/>
    <x v="163"/>
    <x v="72"/>
    <x v="372"/>
    <x v="80"/>
    <x v="299"/>
    <x v="0"/>
  </r>
  <r>
    <x v="0"/>
    <x v="38"/>
    <x v="38"/>
    <x v="7"/>
    <x v="7"/>
    <x v="7"/>
    <x v="11"/>
    <x v="147"/>
    <x v="163"/>
    <x v="68"/>
    <x v="370"/>
    <x v="98"/>
    <x v="168"/>
    <x v="0"/>
  </r>
  <r>
    <x v="0"/>
    <x v="38"/>
    <x v="38"/>
    <x v="5"/>
    <x v="5"/>
    <x v="5"/>
    <x v="11"/>
    <x v="147"/>
    <x v="163"/>
    <x v="78"/>
    <x v="336"/>
    <x v="95"/>
    <x v="198"/>
    <x v="0"/>
  </r>
  <r>
    <x v="0"/>
    <x v="38"/>
    <x v="38"/>
    <x v="10"/>
    <x v="10"/>
    <x v="10"/>
    <x v="19"/>
    <x v="148"/>
    <x v="129"/>
    <x v="55"/>
    <x v="373"/>
    <x v="95"/>
    <x v="198"/>
    <x v="0"/>
  </r>
  <r>
    <x v="0"/>
    <x v="38"/>
    <x v="38"/>
    <x v="1"/>
    <x v="1"/>
    <x v="1"/>
    <x v="19"/>
    <x v="148"/>
    <x v="129"/>
    <x v="55"/>
    <x v="373"/>
    <x v="95"/>
    <x v="198"/>
    <x v="0"/>
  </r>
  <r>
    <x v="0"/>
    <x v="38"/>
    <x v="38"/>
    <x v="9"/>
    <x v="9"/>
    <x v="9"/>
    <x v="19"/>
    <x v="148"/>
    <x v="129"/>
    <x v="78"/>
    <x v="336"/>
    <x v="98"/>
    <x v="168"/>
    <x v="0"/>
  </r>
  <r>
    <x v="0"/>
    <x v="38"/>
    <x v="38"/>
    <x v="101"/>
    <x v="101"/>
    <x v="101"/>
    <x v="16"/>
    <x v="149"/>
    <x v="183"/>
    <x v="72"/>
    <x v="372"/>
    <x v="70"/>
    <x v="298"/>
    <x v="0"/>
  </r>
  <r>
    <x v="0"/>
    <x v="38"/>
    <x v="38"/>
    <x v="27"/>
    <x v="27"/>
    <x v="27"/>
    <x v="17"/>
    <x v="150"/>
    <x v="280"/>
    <x v="120"/>
    <x v="211"/>
    <x v="70"/>
    <x v="298"/>
    <x v="0"/>
  </r>
  <r>
    <x v="0"/>
    <x v="38"/>
    <x v="38"/>
    <x v="102"/>
    <x v="102"/>
    <x v="102"/>
    <x v="17"/>
    <x v="150"/>
    <x v="280"/>
    <x v="120"/>
    <x v="211"/>
    <x v="70"/>
    <x v="298"/>
    <x v="0"/>
  </r>
  <r>
    <x v="0"/>
    <x v="38"/>
    <x v="38"/>
    <x v="103"/>
    <x v="103"/>
    <x v="103"/>
    <x v="17"/>
    <x v="150"/>
    <x v="280"/>
    <x v="115"/>
    <x v="374"/>
    <x v="95"/>
    <x v="198"/>
    <x v="0"/>
  </r>
  <r>
    <x v="0"/>
    <x v="38"/>
    <x v="38"/>
    <x v="104"/>
    <x v="104"/>
    <x v="104"/>
    <x v="17"/>
    <x v="150"/>
    <x v="280"/>
    <x v="120"/>
    <x v="211"/>
    <x v="70"/>
    <x v="298"/>
    <x v="0"/>
  </r>
  <r>
    <x v="0"/>
    <x v="38"/>
    <x v="38"/>
    <x v="68"/>
    <x v="68"/>
    <x v="68"/>
    <x v="17"/>
    <x v="150"/>
    <x v="280"/>
    <x v="115"/>
    <x v="374"/>
    <x v="95"/>
    <x v="198"/>
    <x v="0"/>
  </r>
  <r>
    <x v="0"/>
    <x v="38"/>
    <x v="38"/>
    <x v="38"/>
    <x v="38"/>
    <x v="38"/>
    <x v="17"/>
    <x v="150"/>
    <x v="280"/>
    <x v="115"/>
    <x v="374"/>
    <x v="95"/>
    <x v="198"/>
    <x v="0"/>
  </r>
  <r>
    <x v="0"/>
    <x v="38"/>
    <x v="38"/>
    <x v="71"/>
    <x v="71"/>
    <x v="71"/>
    <x v="17"/>
    <x v="150"/>
    <x v="280"/>
    <x v="80"/>
    <x v="131"/>
    <x v="98"/>
    <x v="168"/>
    <x v="0"/>
  </r>
  <r>
    <x v="0"/>
    <x v="38"/>
    <x v="38"/>
    <x v="72"/>
    <x v="72"/>
    <x v="72"/>
    <x v="17"/>
    <x v="150"/>
    <x v="280"/>
    <x v="115"/>
    <x v="374"/>
    <x v="95"/>
    <x v="198"/>
    <x v="0"/>
  </r>
  <r>
    <x v="0"/>
    <x v="38"/>
    <x v="38"/>
    <x v="20"/>
    <x v="20"/>
    <x v="20"/>
    <x v="17"/>
    <x v="150"/>
    <x v="280"/>
    <x v="115"/>
    <x v="374"/>
    <x v="95"/>
    <x v="198"/>
    <x v="0"/>
  </r>
  <r>
    <x v="0"/>
    <x v="38"/>
    <x v="38"/>
    <x v="15"/>
    <x v="15"/>
    <x v="15"/>
    <x v="17"/>
    <x v="150"/>
    <x v="280"/>
    <x v="72"/>
    <x v="372"/>
    <x v="53"/>
    <x v="203"/>
    <x v="0"/>
  </r>
  <r>
    <x v="0"/>
    <x v="38"/>
    <x v="38"/>
    <x v="24"/>
    <x v="24"/>
    <x v="24"/>
    <x v="17"/>
    <x v="150"/>
    <x v="280"/>
    <x v="80"/>
    <x v="131"/>
    <x v="98"/>
    <x v="168"/>
    <x v="0"/>
  </r>
  <r>
    <x v="0"/>
    <x v="38"/>
    <x v="38"/>
    <x v="37"/>
    <x v="37"/>
    <x v="37"/>
    <x v="17"/>
    <x v="150"/>
    <x v="280"/>
    <x v="80"/>
    <x v="131"/>
    <x v="98"/>
    <x v="168"/>
    <x v="0"/>
  </r>
  <r>
    <x v="0"/>
    <x v="38"/>
    <x v="38"/>
    <x v="54"/>
    <x v="54"/>
    <x v="54"/>
    <x v="17"/>
    <x v="150"/>
    <x v="280"/>
    <x v="80"/>
    <x v="131"/>
    <x v="98"/>
    <x v="168"/>
    <x v="0"/>
  </r>
  <r>
    <x v="0"/>
    <x v="38"/>
    <x v="38"/>
    <x v="81"/>
    <x v="81"/>
    <x v="81"/>
    <x v="17"/>
    <x v="150"/>
    <x v="280"/>
    <x v="120"/>
    <x v="211"/>
    <x v="95"/>
    <x v="198"/>
    <x v="3"/>
  </r>
  <r>
    <x v="0"/>
    <x v="38"/>
    <x v="38"/>
    <x v="105"/>
    <x v="105"/>
    <x v="105"/>
    <x v="17"/>
    <x v="150"/>
    <x v="280"/>
    <x v="115"/>
    <x v="374"/>
    <x v="95"/>
    <x v="198"/>
    <x v="0"/>
  </r>
  <r>
    <x v="0"/>
    <x v="39"/>
    <x v="39"/>
    <x v="0"/>
    <x v="0"/>
    <x v="0"/>
    <x v="0"/>
    <x v="127"/>
    <x v="247"/>
    <x v="94"/>
    <x v="375"/>
    <x v="70"/>
    <x v="174"/>
    <x v="0"/>
  </r>
  <r>
    <x v="0"/>
    <x v="39"/>
    <x v="39"/>
    <x v="2"/>
    <x v="2"/>
    <x v="2"/>
    <x v="1"/>
    <x v="121"/>
    <x v="281"/>
    <x v="105"/>
    <x v="376"/>
    <x v="95"/>
    <x v="166"/>
    <x v="0"/>
  </r>
  <r>
    <x v="0"/>
    <x v="39"/>
    <x v="39"/>
    <x v="12"/>
    <x v="12"/>
    <x v="12"/>
    <x v="2"/>
    <x v="125"/>
    <x v="282"/>
    <x v="78"/>
    <x v="309"/>
    <x v="48"/>
    <x v="300"/>
    <x v="0"/>
  </r>
  <r>
    <x v="0"/>
    <x v="39"/>
    <x v="39"/>
    <x v="14"/>
    <x v="14"/>
    <x v="14"/>
    <x v="3"/>
    <x v="128"/>
    <x v="283"/>
    <x v="80"/>
    <x v="92"/>
    <x v="77"/>
    <x v="217"/>
    <x v="0"/>
  </r>
  <r>
    <x v="0"/>
    <x v="39"/>
    <x v="39"/>
    <x v="7"/>
    <x v="7"/>
    <x v="7"/>
    <x v="3"/>
    <x v="128"/>
    <x v="283"/>
    <x v="70"/>
    <x v="307"/>
    <x v="95"/>
    <x v="166"/>
    <x v="0"/>
  </r>
  <r>
    <x v="0"/>
    <x v="39"/>
    <x v="39"/>
    <x v="3"/>
    <x v="3"/>
    <x v="3"/>
    <x v="5"/>
    <x v="129"/>
    <x v="149"/>
    <x v="72"/>
    <x v="142"/>
    <x v="78"/>
    <x v="301"/>
    <x v="0"/>
  </r>
  <r>
    <x v="0"/>
    <x v="39"/>
    <x v="39"/>
    <x v="9"/>
    <x v="9"/>
    <x v="9"/>
    <x v="5"/>
    <x v="129"/>
    <x v="149"/>
    <x v="70"/>
    <x v="307"/>
    <x v="98"/>
    <x v="168"/>
    <x v="0"/>
  </r>
  <r>
    <x v="0"/>
    <x v="39"/>
    <x v="39"/>
    <x v="8"/>
    <x v="8"/>
    <x v="8"/>
    <x v="7"/>
    <x v="130"/>
    <x v="79"/>
    <x v="74"/>
    <x v="377"/>
    <x v="95"/>
    <x v="166"/>
    <x v="0"/>
  </r>
  <r>
    <x v="0"/>
    <x v="39"/>
    <x v="39"/>
    <x v="6"/>
    <x v="6"/>
    <x v="6"/>
    <x v="8"/>
    <x v="153"/>
    <x v="193"/>
    <x v="78"/>
    <x v="309"/>
    <x v="70"/>
    <x v="174"/>
    <x v="0"/>
  </r>
  <r>
    <x v="0"/>
    <x v="39"/>
    <x v="39"/>
    <x v="16"/>
    <x v="16"/>
    <x v="16"/>
    <x v="8"/>
    <x v="153"/>
    <x v="193"/>
    <x v="55"/>
    <x v="378"/>
    <x v="94"/>
    <x v="220"/>
    <x v="0"/>
  </r>
  <r>
    <x v="0"/>
    <x v="39"/>
    <x v="39"/>
    <x v="13"/>
    <x v="13"/>
    <x v="13"/>
    <x v="10"/>
    <x v="146"/>
    <x v="91"/>
    <x v="68"/>
    <x v="379"/>
    <x v="95"/>
    <x v="166"/>
    <x v="0"/>
  </r>
  <r>
    <x v="0"/>
    <x v="39"/>
    <x v="39"/>
    <x v="38"/>
    <x v="38"/>
    <x v="38"/>
    <x v="11"/>
    <x v="147"/>
    <x v="93"/>
    <x v="72"/>
    <x v="142"/>
    <x v="80"/>
    <x v="302"/>
    <x v="0"/>
  </r>
  <r>
    <x v="0"/>
    <x v="39"/>
    <x v="39"/>
    <x v="33"/>
    <x v="33"/>
    <x v="33"/>
    <x v="11"/>
    <x v="147"/>
    <x v="93"/>
    <x v="120"/>
    <x v="211"/>
    <x v="82"/>
    <x v="269"/>
    <x v="0"/>
  </r>
  <r>
    <x v="0"/>
    <x v="39"/>
    <x v="39"/>
    <x v="10"/>
    <x v="10"/>
    <x v="10"/>
    <x v="11"/>
    <x v="147"/>
    <x v="93"/>
    <x v="115"/>
    <x v="347"/>
    <x v="94"/>
    <x v="220"/>
    <x v="0"/>
  </r>
  <r>
    <x v="0"/>
    <x v="39"/>
    <x v="39"/>
    <x v="5"/>
    <x v="5"/>
    <x v="5"/>
    <x v="11"/>
    <x v="147"/>
    <x v="93"/>
    <x v="68"/>
    <x v="379"/>
    <x v="98"/>
    <x v="168"/>
    <x v="0"/>
  </r>
  <r>
    <x v="0"/>
    <x v="39"/>
    <x v="39"/>
    <x v="45"/>
    <x v="45"/>
    <x v="45"/>
    <x v="11"/>
    <x v="147"/>
    <x v="93"/>
    <x v="120"/>
    <x v="211"/>
    <x v="82"/>
    <x v="269"/>
    <x v="0"/>
  </r>
  <r>
    <x v="0"/>
    <x v="39"/>
    <x v="39"/>
    <x v="27"/>
    <x v="27"/>
    <x v="27"/>
    <x v="15"/>
    <x v="148"/>
    <x v="15"/>
    <x v="72"/>
    <x v="142"/>
    <x v="94"/>
    <x v="220"/>
    <x v="0"/>
  </r>
  <r>
    <x v="0"/>
    <x v="39"/>
    <x v="39"/>
    <x v="32"/>
    <x v="32"/>
    <x v="32"/>
    <x v="15"/>
    <x v="148"/>
    <x v="15"/>
    <x v="55"/>
    <x v="378"/>
    <x v="95"/>
    <x v="166"/>
    <x v="0"/>
  </r>
  <r>
    <x v="0"/>
    <x v="39"/>
    <x v="39"/>
    <x v="1"/>
    <x v="1"/>
    <x v="1"/>
    <x v="15"/>
    <x v="148"/>
    <x v="15"/>
    <x v="80"/>
    <x v="92"/>
    <x v="53"/>
    <x v="270"/>
    <x v="0"/>
  </r>
  <r>
    <x v="0"/>
    <x v="39"/>
    <x v="39"/>
    <x v="41"/>
    <x v="41"/>
    <x v="41"/>
    <x v="15"/>
    <x v="148"/>
    <x v="15"/>
    <x v="120"/>
    <x v="211"/>
    <x v="80"/>
    <x v="302"/>
    <x v="0"/>
  </r>
  <r>
    <x v="0"/>
    <x v="40"/>
    <x v="40"/>
    <x v="0"/>
    <x v="0"/>
    <x v="0"/>
    <x v="0"/>
    <x v="146"/>
    <x v="284"/>
    <x v="67"/>
    <x v="380"/>
    <x v="98"/>
    <x v="168"/>
    <x v="0"/>
  </r>
  <r>
    <x v="0"/>
    <x v="40"/>
    <x v="40"/>
    <x v="2"/>
    <x v="2"/>
    <x v="2"/>
    <x v="1"/>
    <x v="149"/>
    <x v="285"/>
    <x v="55"/>
    <x v="381"/>
    <x v="98"/>
    <x v="168"/>
    <x v="0"/>
  </r>
  <r>
    <x v="0"/>
    <x v="40"/>
    <x v="40"/>
    <x v="8"/>
    <x v="8"/>
    <x v="8"/>
    <x v="1"/>
    <x v="149"/>
    <x v="285"/>
    <x v="55"/>
    <x v="381"/>
    <x v="98"/>
    <x v="168"/>
    <x v="0"/>
  </r>
  <r>
    <x v="0"/>
    <x v="40"/>
    <x v="40"/>
    <x v="3"/>
    <x v="3"/>
    <x v="3"/>
    <x v="3"/>
    <x v="150"/>
    <x v="199"/>
    <x v="120"/>
    <x v="211"/>
    <x v="70"/>
    <x v="303"/>
    <x v="0"/>
  </r>
  <r>
    <x v="0"/>
    <x v="40"/>
    <x v="40"/>
    <x v="106"/>
    <x v="106"/>
    <x v="106"/>
    <x v="3"/>
    <x v="150"/>
    <x v="199"/>
    <x v="120"/>
    <x v="211"/>
    <x v="70"/>
    <x v="303"/>
    <x v="0"/>
  </r>
  <r>
    <x v="0"/>
    <x v="40"/>
    <x v="40"/>
    <x v="7"/>
    <x v="7"/>
    <x v="7"/>
    <x v="3"/>
    <x v="150"/>
    <x v="199"/>
    <x v="72"/>
    <x v="382"/>
    <x v="53"/>
    <x v="304"/>
    <x v="0"/>
  </r>
  <r>
    <x v="0"/>
    <x v="40"/>
    <x v="40"/>
    <x v="6"/>
    <x v="6"/>
    <x v="6"/>
    <x v="3"/>
    <x v="150"/>
    <x v="199"/>
    <x v="72"/>
    <x v="382"/>
    <x v="53"/>
    <x v="304"/>
    <x v="0"/>
  </r>
  <r>
    <x v="0"/>
    <x v="40"/>
    <x v="40"/>
    <x v="12"/>
    <x v="12"/>
    <x v="12"/>
    <x v="3"/>
    <x v="150"/>
    <x v="199"/>
    <x v="80"/>
    <x v="383"/>
    <x v="98"/>
    <x v="168"/>
    <x v="0"/>
  </r>
  <r>
    <x v="0"/>
    <x v="40"/>
    <x v="40"/>
    <x v="14"/>
    <x v="14"/>
    <x v="14"/>
    <x v="8"/>
    <x v="151"/>
    <x v="38"/>
    <x v="72"/>
    <x v="382"/>
    <x v="95"/>
    <x v="305"/>
    <x v="0"/>
  </r>
  <r>
    <x v="0"/>
    <x v="40"/>
    <x v="40"/>
    <x v="102"/>
    <x v="102"/>
    <x v="102"/>
    <x v="8"/>
    <x v="151"/>
    <x v="38"/>
    <x v="115"/>
    <x v="384"/>
    <x v="98"/>
    <x v="168"/>
    <x v="0"/>
  </r>
  <r>
    <x v="0"/>
    <x v="40"/>
    <x v="40"/>
    <x v="107"/>
    <x v="107"/>
    <x v="107"/>
    <x v="8"/>
    <x v="151"/>
    <x v="38"/>
    <x v="120"/>
    <x v="211"/>
    <x v="53"/>
    <x v="304"/>
    <x v="0"/>
  </r>
  <r>
    <x v="0"/>
    <x v="40"/>
    <x v="40"/>
    <x v="63"/>
    <x v="63"/>
    <x v="63"/>
    <x v="8"/>
    <x v="151"/>
    <x v="38"/>
    <x v="120"/>
    <x v="211"/>
    <x v="53"/>
    <x v="304"/>
    <x v="0"/>
  </r>
  <r>
    <x v="0"/>
    <x v="40"/>
    <x v="40"/>
    <x v="39"/>
    <x v="39"/>
    <x v="39"/>
    <x v="8"/>
    <x v="151"/>
    <x v="38"/>
    <x v="72"/>
    <x v="382"/>
    <x v="95"/>
    <x v="305"/>
    <x v="0"/>
  </r>
  <r>
    <x v="0"/>
    <x v="40"/>
    <x v="40"/>
    <x v="32"/>
    <x v="32"/>
    <x v="32"/>
    <x v="8"/>
    <x v="151"/>
    <x v="38"/>
    <x v="115"/>
    <x v="384"/>
    <x v="98"/>
    <x v="168"/>
    <x v="0"/>
  </r>
  <r>
    <x v="0"/>
    <x v="40"/>
    <x v="40"/>
    <x v="33"/>
    <x v="33"/>
    <x v="33"/>
    <x v="8"/>
    <x v="151"/>
    <x v="38"/>
    <x v="120"/>
    <x v="211"/>
    <x v="53"/>
    <x v="304"/>
    <x v="0"/>
  </r>
  <r>
    <x v="0"/>
    <x v="40"/>
    <x v="40"/>
    <x v="35"/>
    <x v="35"/>
    <x v="35"/>
    <x v="8"/>
    <x v="151"/>
    <x v="38"/>
    <x v="120"/>
    <x v="211"/>
    <x v="53"/>
    <x v="304"/>
    <x v="0"/>
  </r>
  <r>
    <x v="0"/>
    <x v="40"/>
    <x v="40"/>
    <x v="5"/>
    <x v="5"/>
    <x v="5"/>
    <x v="8"/>
    <x v="151"/>
    <x v="38"/>
    <x v="115"/>
    <x v="384"/>
    <x v="98"/>
    <x v="168"/>
    <x v="0"/>
  </r>
  <r>
    <x v="0"/>
    <x v="40"/>
    <x v="40"/>
    <x v="17"/>
    <x v="17"/>
    <x v="17"/>
    <x v="16"/>
    <x v="152"/>
    <x v="216"/>
    <x v="120"/>
    <x v="211"/>
    <x v="95"/>
    <x v="305"/>
    <x v="0"/>
  </r>
  <r>
    <x v="0"/>
    <x v="40"/>
    <x v="40"/>
    <x v="13"/>
    <x v="13"/>
    <x v="13"/>
    <x v="16"/>
    <x v="152"/>
    <x v="216"/>
    <x v="72"/>
    <x v="382"/>
    <x v="98"/>
    <x v="168"/>
    <x v="0"/>
  </r>
  <r>
    <x v="0"/>
    <x v="40"/>
    <x v="40"/>
    <x v="49"/>
    <x v="49"/>
    <x v="49"/>
    <x v="16"/>
    <x v="152"/>
    <x v="216"/>
    <x v="72"/>
    <x v="382"/>
    <x v="98"/>
    <x v="168"/>
    <x v="0"/>
  </r>
  <r>
    <x v="0"/>
    <x v="40"/>
    <x v="40"/>
    <x v="28"/>
    <x v="28"/>
    <x v="28"/>
    <x v="16"/>
    <x v="152"/>
    <x v="216"/>
    <x v="72"/>
    <x v="382"/>
    <x v="98"/>
    <x v="168"/>
    <x v="0"/>
  </r>
  <r>
    <x v="0"/>
    <x v="40"/>
    <x v="40"/>
    <x v="108"/>
    <x v="108"/>
    <x v="108"/>
    <x v="16"/>
    <x v="152"/>
    <x v="216"/>
    <x v="120"/>
    <x v="211"/>
    <x v="95"/>
    <x v="305"/>
    <x v="0"/>
  </r>
  <r>
    <x v="0"/>
    <x v="40"/>
    <x v="40"/>
    <x v="27"/>
    <x v="27"/>
    <x v="27"/>
    <x v="16"/>
    <x v="152"/>
    <x v="216"/>
    <x v="120"/>
    <x v="211"/>
    <x v="95"/>
    <x v="305"/>
    <x v="0"/>
  </r>
  <r>
    <x v="0"/>
    <x v="40"/>
    <x v="40"/>
    <x v="109"/>
    <x v="109"/>
    <x v="109"/>
    <x v="16"/>
    <x v="152"/>
    <x v="216"/>
    <x v="72"/>
    <x v="382"/>
    <x v="98"/>
    <x v="168"/>
    <x v="0"/>
  </r>
  <r>
    <x v="0"/>
    <x v="40"/>
    <x v="40"/>
    <x v="51"/>
    <x v="51"/>
    <x v="51"/>
    <x v="16"/>
    <x v="152"/>
    <x v="216"/>
    <x v="72"/>
    <x v="382"/>
    <x v="98"/>
    <x v="168"/>
    <x v="0"/>
  </r>
  <r>
    <x v="0"/>
    <x v="40"/>
    <x v="40"/>
    <x v="110"/>
    <x v="110"/>
    <x v="110"/>
    <x v="16"/>
    <x v="152"/>
    <x v="216"/>
    <x v="120"/>
    <x v="211"/>
    <x v="95"/>
    <x v="305"/>
    <x v="0"/>
  </r>
  <r>
    <x v="0"/>
    <x v="40"/>
    <x v="40"/>
    <x v="42"/>
    <x v="42"/>
    <x v="42"/>
    <x v="16"/>
    <x v="152"/>
    <x v="216"/>
    <x v="72"/>
    <x v="382"/>
    <x v="98"/>
    <x v="168"/>
    <x v="0"/>
  </r>
  <r>
    <x v="0"/>
    <x v="40"/>
    <x v="40"/>
    <x v="111"/>
    <x v="111"/>
    <x v="111"/>
    <x v="16"/>
    <x v="152"/>
    <x v="216"/>
    <x v="72"/>
    <x v="382"/>
    <x v="98"/>
    <x v="168"/>
    <x v="0"/>
  </r>
  <r>
    <x v="0"/>
    <x v="40"/>
    <x v="40"/>
    <x v="65"/>
    <x v="65"/>
    <x v="65"/>
    <x v="16"/>
    <x v="152"/>
    <x v="216"/>
    <x v="120"/>
    <x v="211"/>
    <x v="98"/>
    <x v="168"/>
    <x v="0"/>
  </r>
  <r>
    <x v="0"/>
    <x v="40"/>
    <x v="40"/>
    <x v="112"/>
    <x v="112"/>
    <x v="112"/>
    <x v="16"/>
    <x v="152"/>
    <x v="216"/>
    <x v="120"/>
    <x v="211"/>
    <x v="95"/>
    <x v="305"/>
    <x v="0"/>
  </r>
  <r>
    <x v="0"/>
    <x v="40"/>
    <x v="40"/>
    <x v="113"/>
    <x v="113"/>
    <x v="113"/>
    <x v="16"/>
    <x v="152"/>
    <x v="216"/>
    <x v="120"/>
    <x v="211"/>
    <x v="95"/>
    <x v="305"/>
    <x v="0"/>
  </r>
  <r>
    <x v="0"/>
    <x v="40"/>
    <x v="40"/>
    <x v="29"/>
    <x v="29"/>
    <x v="29"/>
    <x v="16"/>
    <x v="152"/>
    <x v="216"/>
    <x v="120"/>
    <x v="211"/>
    <x v="95"/>
    <x v="305"/>
    <x v="0"/>
  </r>
  <r>
    <x v="0"/>
    <x v="40"/>
    <x v="40"/>
    <x v="79"/>
    <x v="79"/>
    <x v="79"/>
    <x v="16"/>
    <x v="152"/>
    <x v="216"/>
    <x v="72"/>
    <x v="382"/>
    <x v="98"/>
    <x v="168"/>
    <x v="0"/>
  </r>
  <r>
    <x v="0"/>
    <x v="40"/>
    <x v="40"/>
    <x v="19"/>
    <x v="19"/>
    <x v="19"/>
    <x v="16"/>
    <x v="152"/>
    <x v="216"/>
    <x v="120"/>
    <x v="211"/>
    <x v="95"/>
    <x v="305"/>
    <x v="0"/>
  </r>
  <r>
    <x v="0"/>
    <x v="40"/>
    <x v="40"/>
    <x v="69"/>
    <x v="69"/>
    <x v="69"/>
    <x v="16"/>
    <x v="152"/>
    <x v="216"/>
    <x v="72"/>
    <x v="382"/>
    <x v="98"/>
    <x v="168"/>
    <x v="0"/>
  </r>
  <r>
    <x v="0"/>
    <x v="40"/>
    <x v="40"/>
    <x v="38"/>
    <x v="38"/>
    <x v="38"/>
    <x v="16"/>
    <x v="152"/>
    <x v="216"/>
    <x v="120"/>
    <x v="211"/>
    <x v="95"/>
    <x v="305"/>
    <x v="0"/>
  </r>
  <r>
    <x v="0"/>
    <x v="40"/>
    <x v="40"/>
    <x v="114"/>
    <x v="114"/>
    <x v="114"/>
    <x v="16"/>
    <x v="152"/>
    <x v="216"/>
    <x v="72"/>
    <x v="382"/>
    <x v="98"/>
    <x v="168"/>
    <x v="0"/>
  </r>
  <r>
    <x v="0"/>
    <x v="40"/>
    <x v="40"/>
    <x v="115"/>
    <x v="115"/>
    <x v="115"/>
    <x v="16"/>
    <x v="152"/>
    <x v="216"/>
    <x v="120"/>
    <x v="211"/>
    <x v="95"/>
    <x v="305"/>
    <x v="0"/>
  </r>
  <r>
    <x v="0"/>
    <x v="40"/>
    <x v="40"/>
    <x v="116"/>
    <x v="116"/>
    <x v="116"/>
    <x v="16"/>
    <x v="152"/>
    <x v="216"/>
    <x v="120"/>
    <x v="211"/>
    <x v="95"/>
    <x v="305"/>
    <x v="0"/>
  </r>
  <r>
    <x v="0"/>
    <x v="40"/>
    <x v="40"/>
    <x v="9"/>
    <x v="9"/>
    <x v="9"/>
    <x v="16"/>
    <x v="152"/>
    <x v="216"/>
    <x v="72"/>
    <x v="382"/>
    <x v="98"/>
    <x v="168"/>
    <x v="0"/>
  </r>
  <r>
    <x v="0"/>
    <x v="40"/>
    <x v="40"/>
    <x v="4"/>
    <x v="4"/>
    <x v="4"/>
    <x v="16"/>
    <x v="152"/>
    <x v="216"/>
    <x v="72"/>
    <x v="382"/>
    <x v="98"/>
    <x v="168"/>
    <x v="0"/>
  </r>
  <r>
    <x v="0"/>
    <x v="40"/>
    <x v="40"/>
    <x v="25"/>
    <x v="25"/>
    <x v="25"/>
    <x v="16"/>
    <x v="152"/>
    <x v="216"/>
    <x v="72"/>
    <x v="382"/>
    <x v="98"/>
    <x v="168"/>
    <x v="0"/>
  </r>
  <r>
    <x v="0"/>
    <x v="40"/>
    <x v="40"/>
    <x v="117"/>
    <x v="117"/>
    <x v="117"/>
    <x v="16"/>
    <x v="152"/>
    <x v="216"/>
    <x v="120"/>
    <x v="211"/>
    <x v="98"/>
    <x v="168"/>
    <x v="0"/>
  </r>
  <r>
    <x v="0"/>
    <x v="40"/>
    <x v="40"/>
    <x v="11"/>
    <x v="11"/>
    <x v="11"/>
    <x v="16"/>
    <x v="152"/>
    <x v="216"/>
    <x v="120"/>
    <x v="211"/>
    <x v="95"/>
    <x v="305"/>
    <x v="0"/>
  </r>
  <r>
    <x v="0"/>
    <x v="40"/>
    <x v="40"/>
    <x v="118"/>
    <x v="118"/>
    <x v="118"/>
    <x v="16"/>
    <x v="152"/>
    <x v="216"/>
    <x v="120"/>
    <x v="211"/>
    <x v="98"/>
    <x v="168"/>
    <x v="0"/>
  </r>
  <r>
    <x v="0"/>
    <x v="40"/>
    <x v="40"/>
    <x v="55"/>
    <x v="55"/>
    <x v="55"/>
    <x v="16"/>
    <x v="152"/>
    <x v="216"/>
    <x v="120"/>
    <x v="211"/>
    <x v="95"/>
    <x v="305"/>
    <x v="0"/>
  </r>
  <r>
    <x v="0"/>
    <x v="40"/>
    <x v="40"/>
    <x v="47"/>
    <x v="47"/>
    <x v="47"/>
    <x v="16"/>
    <x v="152"/>
    <x v="216"/>
    <x v="120"/>
    <x v="211"/>
    <x v="98"/>
    <x v="168"/>
    <x v="0"/>
  </r>
  <r>
    <x v="0"/>
    <x v="41"/>
    <x v="41"/>
    <x v="0"/>
    <x v="0"/>
    <x v="0"/>
    <x v="0"/>
    <x v="122"/>
    <x v="286"/>
    <x v="88"/>
    <x v="385"/>
    <x v="70"/>
    <x v="208"/>
    <x v="0"/>
  </r>
  <r>
    <x v="0"/>
    <x v="41"/>
    <x v="41"/>
    <x v="6"/>
    <x v="6"/>
    <x v="6"/>
    <x v="1"/>
    <x v="128"/>
    <x v="287"/>
    <x v="74"/>
    <x v="386"/>
    <x v="70"/>
    <x v="208"/>
    <x v="0"/>
  </r>
  <r>
    <x v="0"/>
    <x v="41"/>
    <x v="41"/>
    <x v="12"/>
    <x v="12"/>
    <x v="12"/>
    <x v="2"/>
    <x v="153"/>
    <x v="114"/>
    <x v="74"/>
    <x v="386"/>
    <x v="98"/>
    <x v="168"/>
    <x v="0"/>
  </r>
  <r>
    <x v="0"/>
    <x v="41"/>
    <x v="41"/>
    <x v="8"/>
    <x v="8"/>
    <x v="8"/>
    <x v="3"/>
    <x v="146"/>
    <x v="236"/>
    <x v="68"/>
    <x v="384"/>
    <x v="95"/>
    <x v="107"/>
    <x v="0"/>
  </r>
  <r>
    <x v="0"/>
    <x v="41"/>
    <x v="41"/>
    <x v="3"/>
    <x v="3"/>
    <x v="3"/>
    <x v="4"/>
    <x v="147"/>
    <x v="288"/>
    <x v="120"/>
    <x v="211"/>
    <x v="82"/>
    <x v="233"/>
    <x v="0"/>
  </r>
  <r>
    <x v="0"/>
    <x v="41"/>
    <x v="41"/>
    <x v="14"/>
    <x v="14"/>
    <x v="14"/>
    <x v="4"/>
    <x v="147"/>
    <x v="288"/>
    <x v="55"/>
    <x v="137"/>
    <x v="53"/>
    <x v="99"/>
    <x v="0"/>
  </r>
  <r>
    <x v="0"/>
    <x v="41"/>
    <x v="41"/>
    <x v="5"/>
    <x v="5"/>
    <x v="5"/>
    <x v="4"/>
    <x v="147"/>
    <x v="288"/>
    <x v="78"/>
    <x v="387"/>
    <x v="95"/>
    <x v="107"/>
    <x v="0"/>
  </r>
  <r>
    <x v="0"/>
    <x v="41"/>
    <x v="41"/>
    <x v="50"/>
    <x v="50"/>
    <x v="50"/>
    <x v="7"/>
    <x v="148"/>
    <x v="134"/>
    <x v="55"/>
    <x v="137"/>
    <x v="95"/>
    <x v="107"/>
    <x v="0"/>
  </r>
  <r>
    <x v="0"/>
    <x v="41"/>
    <x v="41"/>
    <x v="19"/>
    <x v="19"/>
    <x v="19"/>
    <x v="7"/>
    <x v="148"/>
    <x v="134"/>
    <x v="115"/>
    <x v="388"/>
    <x v="70"/>
    <x v="208"/>
    <x v="0"/>
  </r>
  <r>
    <x v="0"/>
    <x v="41"/>
    <x v="41"/>
    <x v="38"/>
    <x v="38"/>
    <x v="38"/>
    <x v="7"/>
    <x v="148"/>
    <x v="134"/>
    <x v="80"/>
    <x v="382"/>
    <x v="53"/>
    <x v="99"/>
    <x v="0"/>
  </r>
  <r>
    <x v="0"/>
    <x v="41"/>
    <x v="41"/>
    <x v="7"/>
    <x v="7"/>
    <x v="7"/>
    <x v="7"/>
    <x v="148"/>
    <x v="134"/>
    <x v="115"/>
    <x v="388"/>
    <x v="70"/>
    <x v="208"/>
    <x v="0"/>
  </r>
  <r>
    <x v="0"/>
    <x v="41"/>
    <x v="41"/>
    <x v="2"/>
    <x v="2"/>
    <x v="2"/>
    <x v="7"/>
    <x v="148"/>
    <x v="134"/>
    <x v="78"/>
    <x v="387"/>
    <x v="98"/>
    <x v="168"/>
    <x v="0"/>
  </r>
  <r>
    <x v="0"/>
    <x v="41"/>
    <x v="41"/>
    <x v="119"/>
    <x v="119"/>
    <x v="119"/>
    <x v="12"/>
    <x v="149"/>
    <x v="71"/>
    <x v="80"/>
    <x v="382"/>
    <x v="95"/>
    <x v="107"/>
    <x v="0"/>
  </r>
  <r>
    <x v="0"/>
    <x v="41"/>
    <x v="41"/>
    <x v="10"/>
    <x v="10"/>
    <x v="10"/>
    <x v="12"/>
    <x v="149"/>
    <x v="71"/>
    <x v="120"/>
    <x v="211"/>
    <x v="94"/>
    <x v="306"/>
    <x v="0"/>
  </r>
  <r>
    <x v="0"/>
    <x v="41"/>
    <x v="41"/>
    <x v="89"/>
    <x v="89"/>
    <x v="89"/>
    <x v="12"/>
    <x v="149"/>
    <x v="71"/>
    <x v="80"/>
    <x v="382"/>
    <x v="95"/>
    <x v="107"/>
    <x v="0"/>
  </r>
  <r>
    <x v="0"/>
    <x v="41"/>
    <x v="41"/>
    <x v="36"/>
    <x v="36"/>
    <x v="36"/>
    <x v="12"/>
    <x v="149"/>
    <x v="71"/>
    <x v="80"/>
    <x v="382"/>
    <x v="95"/>
    <x v="107"/>
    <x v="0"/>
  </r>
  <r>
    <x v="0"/>
    <x v="41"/>
    <x v="41"/>
    <x v="17"/>
    <x v="17"/>
    <x v="17"/>
    <x v="15"/>
    <x v="150"/>
    <x v="32"/>
    <x v="115"/>
    <x v="388"/>
    <x v="95"/>
    <x v="107"/>
    <x v="0"/>
  </r>
  <r>
    <x v="0"/>
    <x v="41"/>
    <x v="41"/>
    <x v="13"/>
    <x v="13"/>
    <x v="13"/>
    <x v="15"/>
    <x v="150"/>
    <x v="32"/>
    <x v="72"/>
    <x v="183"/>
    <x v="53"/>
    <x v="99"/>
    <x v="0"/>
  </r>
  <r>
    <x v="0"/>
    <x v="41"/>
    <x v="41"/>
    <x v="98"/>
    <x v="98"/>
    <x v="98"/>
    <x v="15"/>
    <x v="150"/>
    <x v="32"/>
    <x v="120"/>
    <x v="211"/>
    <x v="70"/>
    <x v="208"/>
    <x v="0"/>
  </r>
  <r>
    <x v="0"/>
    <x v="41"/>
    <x v="41"/>
    <x v="84"/>
    <x v="84"/>
    <x v="84"/>
    <x v="15"/>
    <x v="150"/>
    <x v="32"/>
    <x v="120"/>
    <x v="211"/>
    <x v="70"/>
    <x v="208"/>
    <x v="0"/>
  </r>
  <r>
    <x v="0"/>
    <x v="41"/>
    <x v="41"/>
    <x v="70"/>
    <x v="70"/>
    <x v="70"/>
    <x v="15"/>
    <x v="150"/>
    <x v="32"/>
    <x v="80"/>
    <x v="382"/>
    <x v="98"/>
    <x v="168"/>
    <x v="0"/>
  </r>
  <r>
    <x v="0"/>
    <x v="41"/>
    <x v="41"/>
    <x v="71"/>
    <x v="71"/>
    <x v="71"/>
    <x v="15"/>
    <x v="150"/>
    <x v="32"/>
    <x v="120"/>
    <x v="211"/>
    <x v="70"/>
    <x v="208"/>
    <x v="0"/>
  </r>
  <r>
    <x v="0"/>
    <x v="41"/>
    <x v="41"/>
    <x v="33"/>
    <x v="33"/>
    <x v="33"/>
    <x v="15"/>
    <x v="150"/>
    <x v="32"/>
    <x v="120"/>
    <x v="211"/>
    <x v="70"/>
    <x v="208"/>
    <x v="0"/>
  </r>
  <r>
    <x v="0"/>
    <x v="41"/>
    <x v="41"/>
    <x v="15"/>
    <x v="15"/>
    <x v="15"/>
    <x v="15"/>
    <x v="150"/>
    <x v="32"/>
    <x v="72"/>
    <x v="183"/>
    <x v="53"/>
    <x v="99"/>
    <x v="0"/>
  </r>
  <r>
    <x v="0"/>
    <x v="41"/>
    <x v="41"/>
    <x v="9"/>
    <x v="9"/>
    <x v="9"/>
    <x v="15"/>
    <x v="150"/>
    <x v="32"/>
    <x v="80"/>
    <x v="382"/>
    <x v="98"/>
    <x v="168"/>
    <x v="0"/>
  </r>
  <r>
    <x v="0"/>
    <x v="41"/>
    <x v="41"/>
    <x v="120"/>
    <x v="120"/>
    <x v="120"/>
    <x v="15"/>
    <x v="150"/>
    <x v="32"/>
    <x v="120"/>
    <x v="211"/>
    <x v="70"/>
    <x v="208"/>
    <x v="0"/>
  </r>
  <r>
    <x v="0"/>
    <x v="41"/>
    <x v="41"/>
    <x v="11"/>
    <x v="11"/>
    <x v="11"/>
    <x v="15"/>
    <x v="150"/>
    <x v="32"/>
    <x v="80"/>
    <x v="382"/>
    <x v="98"/>
    <x v="168"/>
    <x v="0"/>
  </r>
  <r>
    <x v="0"/>
    <x v="41"/>
    <x v="41"/>
    <x v="54"/>
    <x v="54"/>
    <x v="54"/>
    <x v="15"/>
    <x v="150"/>
    <x v="32"/>
    <x v="80"/>
    <x v="382"/>
    <x v="98"/>
    <x v="168"/>
    <x v="0"/>
  </r>
  <r>
    <x v="0"/>
    <x v="42"/>
    <x v="42"/>
    <x v="2"/>
    <x v="2"/>
    <x v="2"/>
    <x v="0"/>
    <x v="86"/>
    <x v="247"/>
    <x v="87"/>
    <x v="389"/>
    <x v="98"/>
    <x v="168"/>
    <x v="0"/>
  </r>
  <r>
    <x v="0"/>
    <x v="42"/>
    <x v="42"/>
    <x v="0"/>
    <x v="0"/>
    <x v="0"/>
    <x v="1"/>
    <x v="87"/>
    <x v="289"/>
    <x v="62"/>
    <x v="390"/>
    <x v="98"/>
    <x v="168"/>
    <x v="0"/>
  </r>
  <r>
    <x v="0"/>
    <x v="42"/>
    <x v="42"/>
    <x v="4"/>
    <x v="4"/>
    <x v="4"/>
    <x v="2"/>
    <x v="137"/>
    <x v="290"/>
    <x v="105"/>
    <x v="391"/>
    <x v="98"/>
    <x v="168"/>
    <x v="0"/>
  </r>
  <r>
    <x v="0"/>
    <x v="42"/>
    <x v="42"/>
    <x v="9"/>
    <x v="9"/>
    <x v="9"/>
    <x v="3"/>
    <x v="128"/>
    <x v="291"/>
    <x v="88"/>
    <x v="392"/>
    <x v="98"/>
    <x v="168"/>
    <x v="0"/>
  </r>
  <r>
    <x v="0"/>
    <x v="42"/>
    <x v="42"/>
    <x v="14"/>
    <x v="14"/>
    <x v="14"/>
    <x v="4"/>
    <x v="147"/>
    <x v="21"/>
    <x v="115"/>
    <x v="19"/>
    <x v="94"/>
    <x v="307"/>
    <x v="0"/>
  </r>
  <r>
    <x v="0"/>
    <x v="42"/>
    <x v="42"/>
    <x v="6"/>
    <x v="6"/>
    <x v="6"/>
    <x v="4"/>
    <x v="147"/>
    <x v="21"/>
    <x v="115"/>
    <x v="19"/>
    <x v="94"/>
    <x v="307"/>
    <x v="0"/>
  </r>
  <r>
    <x v="0"/>
    <x v="42"/>
    <x v="42"/>
    <x v="33"/>
    <x v="33"/>
    <x v="33"/>
    <x v="4"/>
    <x v="147"/>
    <x v="21"/>
    <x v="80"/>
    <x v="368"/>
    <x v="70"/>
    <x v="243"/>
    <x v="0"/>
  </r>
  <r>
    <x v="0"/>
    <x v="42"/>
    <x v="42"/>
    <x v="15"/>
    <x v="15"/>
    <x v="15"/>
    <x v="4"/>
    <x v="147"/>
    <x v="21"/>
    <x v="78"/>
    <x v="393"/>
    <x v="95"/>
    <x v="214"/>
    <x v="0"/>
  </r>
  <r>
    <x v="0"/>
    <x v="42"/>
    <x v="42"/>
    <x v="11"/>
    <x v="11"/>
    <x v="11"/>
    <x v="4"/>
    <x v="147"/>
    <x v="21"/>
    <x v="80"/>
    <x v="368"/>
    <x v="53"/>
    <x v="67"/>
    <x v="3"/>
  </r>
  <r>
    <x v="0"/>
    <x v="42"/>
    <x v="42"/>
    <x v="13"/>
    <x v="13"/>
    <x v="13"/>
    <x v="9"/>
    <x v="148"/>
    <x v="41"/>
    <x v="55"/>
    <x v="58"/>
    <x v="95"/>
    <x v="214"/>
    <x v="0"/>
  </r>
  <r>
    <x v="0"/>
    <x v="42"/>
    <x v="42"/>
    <x v="51"/>
    <x v="51"/>
    <x v="51"/>
    <x v="9"/>
    <x v="148"/>
    <x v="41"/>
    <x v="115"/>
    <x v="19"/>
    <x v="70"/>
    <x v="243"/>
    <x v="0"/>
  </r>
  <r>
    <x v="0"/>
    <x v="42"/>
    <x v="42"/>
    <x v="10"/>
    <x v="10"/>
    <x v="10"/>
    <x v="9"/>
    <x v="148"/>
    <x v="41"/>
    <x v="55"/>
    <x v="58"/>
    <x v="95"/>
    <x v="214"/>
    <x v="0"/>
  </r>
  <r>
    <x v="0"/>
    <x v="42"/>
    <x v="42"/>
    <x v="25"/>
    <x v="25"/>
    <x v="25"/>
    <x v="9"/>
    <x v="148"/>
    <x v="41"/>
    <x v="80"/>
    <x v="368"/>
    <x v="53"/>
    <x v="67"/>
    <x v="0"/>
  </r>
  <r>
    <x v="0"/>
    <x v="42"/>
    <x v="42"/>
    <x v="12"/>
    <x v="12"/>
    <x v="12"/>
    <x v="9"/>
    <x v="148"/>
    <x v="41"/>
    <x v="55"/>
    <x v="58"/>
    <x v="95"/>
    <x v="214"/>
    <x v="0"/>
  </r>
  <r>
    <x v="0"/>
    <x v="42"/>
    <x v="42"/>
    <x v="121"/>
    <x v="121"/>
    <x v="121"/>
    <x v="19"/>
    <x v="149"/>
    <x v="15"/>
    <x v="72"/>
    <x v="372"/>
    <x v="70"/>
    <x v="243"/>
    <x v="0"/>
  </r>
  <r>
    <x v="0"/>
    <x v="42"/>
    <x v="42"/>
    <x v="16"/>
    <x v="16"/>
    <x v="16"/>
    <x v="19"/>
    <x v="149"/>
    <x v="15"/>
    <x v="115"/>
    <x v="19"/>
    <x v="53"/>
    <x v="67"/>
    <x v="0"/>
  </r>
  <r>
    <x v="0"/>
    <x v="42"/>
    <x v="42"/>
    <x v="89"/>
    <x v="89"/>
    <x v="89"/>
    <x v="19"/>
    <x v="149"/>
    <x v="15"/>
    <x v="55"/>
    <x v="58"/>
    <x v="98"/>
    <x v="168"/>
    <x v="0"/>
  </r>
  <r>
    <x v="0"/>
    <x v="42"/>
    <x v="42"/>
    <x v="5"/>
    <x v="5"/>
    <x v="5"/>
    <x v="19"/>
    <x v="149"/>
    <x v="15"/>
    <x v="55"/>
    <x v="58"/>
    <x v="98"/>
    <x v="168"/>
    <x v="0"/>
  </r>
  <r>
    <x v="0"/>
    <x v="42"/>
    <x v="42"/>
    <x v="3"/>
    <x v="3"/>
    <x v="3"/>
    <x v="17"/>
    <x v="150"/>
    <x v="292"/>
    <x v="72"/>
    <x v="372"/>
    <x v="53"/>
    <x v="67"/>
    <x v="0"/>
  </r>
  <r>
    <x v="0"/>
    <x v="42"/>
    <x v="42"/>
    <x v="58"/>
    <x v="58"/>
    <x v="58"/>
    <x v="17"/>
    <x v="150"/>
    <x v="292"/>
    <x v="115"/>
    <x v="19"/>
    <x v="95"/>
    <x v="214"/>
    <x v="0"/>
  </r>
  <r>
    <x v="0"/>
    <x v="42"/>
    <x v="42"/>
    <x v="78"/>
    <x v="78"/>
    <x v="78"/>
    <x v="17"/>
    <x v="150"/>
    <x v="292"/>
    <x v="80"/>
    <x v="368"/>
    <x v="98"/>
    <x v="168"/>
    <x v="0"/>
  </r>
  <r>
    <x v="0"/>
    <x v="42"/>
    <x v="42"/>
    <x v="122"/>
    <x v="122"/>
    <x v="122"/>
    <x v="17"/>
    <x v="150"/>
    <x v="292"/>
    <x v="80"/>
    <x v="368"/>
    <x v="98"/>
    <x v="168"/>
    <x v="0"/>
  </r>
  <r>
    <x v="0"/>
    <x v="42"/>
    <x v="42"/>
    <x v="123"/>
    <x v="123"/>
    <x v="123"/>
    <x v="17"/>
    <x v="150"/>
    <x v="292"/>
    <x v="120"/>
    <x v="211"/>
    <x v="70"/>
    <x v="243"/>
    <x v="0"/>
  </r>
  <r>
    <x v="0"/>
    <x v="42"/>
    <x v="42"/>
    <x v="79"/>
    <x v="79"/>
    <x v="79"/>
    <x v="17"/>
    <x v="150"/>
    <x v="292"/>
    <x v="80"/>
    <x v="368"/>
    <x v="98"/>
    <x v="168"/>
    <x v="0"/>
  </r>
  <r>
    <x v="0"/>
    <x v="42"/>
    <x v="42"/>
    <x v="7"/>
    <x v="7"/>
    <x v="7"/>
    <x v="17"/>
    <x v="150"/>
    <x v="292"/>
    <x v="115"/>
    <x v="19"/>
    <x v="95"/>
    <x v="214"/>
    <x v="0"/>
  </r>
  <r>
    <x v="0"/>
    <x v="42"/>
    <x v="42"/>
    <x v="99"/>
    <x v="99"/>
    <x v="99"/>
    <x v="17"/>
    <x v="150"/>
    <x v="292"/>
    <x v="72"/>
    <x v="372"/>
    <x v="53"/>
    <x v="67"/>
    <x v="0"/>
  </r>
  <r>
    <x v="0"/>
    <x v="42"/>
    <x v="42"/>
    <x v="34"/>
    <x v="34"/>
    <x v="34"/>
    <x v="17"/>
    <x v="150"/>
    <x v="292"/>
    <x v="80"/>
    <x v="368"/>
    <x v="98"/>
    <x v="168"/>
    <x v="0"/>
  </r>
  <r>
    <x v="0"/>
    <x v="42"/>
    <x v="42"/>
    <x v="36"/>
    <x v="36"/>
    <x v="36"/>
    <x v="17"/>
    <x v="150"/>
    <x v="292"/>
    <x v="80"/>
    <x v="368"/>
    <x v="98"/>
    <x v="168"/>
    <x v="0"/>
  </r>
  <r>
    <x v="0"/>
    <x v="43"/>
    <x v="43"/>
    <x v="0"/>
    <x v="0"/>
    <x v="0"/>
    <x v="0"/>
    <x v="130"/>
    <x v="293"/>
    <x v="74"/>
    <x v="394"/>
    <x v="95"/>
    <x v="143"/>
    <x v="0"/>
  </r>
  <r>
    <x v="0"/>
    <x v="43"/>
    <x v="43"/>
    <x v="51"/>
    <x v="51"/>
    <x v="51"/>
    <x v="1"/>
    <x v="147"/>
    <x v="294"/>
    <x v="115"/>
    <x v="180"/>
    <x v="94"/>
    <x v="308"/>
    <x v="0"/>
  </r>
  <r>
    <x v="0"/>
    <x v="43"/>
    <x v="43"/>
    <x v="11"/>
    <x v="11"/>
    <x v="11"/>
    <x v="1"/>
    <x v="147"/>
    <x v="294"/>
    <x v="68"/>
    <x v="395"/>
    <x v="98"/>
    <x v="168"/>
    <x v="0"/>
  </r>
  <r>
    <x v="0"/>
    <x v="43"/>
    <x v="43"/>
    <x v="2"/>
    <x v="2"/>
    <x v="2"/>
    <x v="3"/>
    <x v="148"/>
    <x v="242"/>
    <x v="78"/>
    <x v="396"/>
    <x v="98"/>
    <x v="168"/>
    <x v="0"/>
  </r>
  <r>
    <x v="0"/>
    <x v="43"/>
    <x v="43"/>
    <x v="17"/>
    <x v="17"/>
    <x v="17"/>
    <x v="4"/>
    <x v="149"/>
    <x v="295"/>
    <x v="80"/>
    <x v="397"/>
    <x v="95"/>
    <x v="143"/>
    <x v="0"/>
  </r>
  <r>
    <x v="0"/>
    <x v="43"/>
    <x v="43"/>
    <x v="19"/>
    <x v="19"/>
    <x v="19"/>
    <x v="4"/>
    <x v="149"/>
    <x v="295"/>
    <x v="55"/>
    <x v="101"/>
    <x v="98"/>
    <x v="168"/>
    <x v="0"/>
  </r>
  <r>
    <x v="0"/>
    <x v="43"/>
    <x v="43"/>
    <x v="38"/>
    <x v="38"/>
    <x v="38"/>
    <x v="4"/>
    <x v="149"/>
    <x v="295"/>
    <x v="55"/>
    <x v="101"/>
    <x v="98"/>
    <x v="168"/>
    <x v="0"/>
  </r>
  <r>
    <x v="0"/>
    <x v="43"/>
    <x v="43"/>
    <x v="7"/>
    <x v="7"/>
    <x v="7"/>
    <x v="4"/>
    <x v="149"/>
    <x v="295"/>
    <x v="55"/>
    <x v="101"/>
    <x v="98"/>
    <x v="168"/>
    <x v="0"/>
  </r>
  <r>
    <x v="0"/>
    <x v="43"/>
    <x v="43"/>
    <x v="71"/>
    <x v="71"/>
    <x v="71"/>
    <x v="4"/>
    <x v="149"/>
    <x v="295"/>
    <x v="115"/>
    <x v="180"/>
    <x v="53"/>
    <x v="224"/>
    <x v="0"/>
  </r>
  <r>
    <x v="0"/>
    <x v="43"/>
    <x v="43"/>
    <x v="87"/>
    <x v="87"/>
    <x v="87"/>
    <x v="4"/>
    <x v="149"/>
    <x v="295"/>
    <x v="55"/>
    <x v="101"/>
    <x v="98"/>
    <x v="168"/>
    <x v="0"/>
  </r>
  <r>
    <x v="0"/>
    <x v="43"/>
    <x v="43"/>
    <x v="12"/>
    <x v="12"/>
    <x v="12"/>
    <x v="4"/>
    <x v="149"/>
    <x v="295"/>
    <x v="115"/>
    <x v="180"/>
    <x v="53"/>
    <x v="224"/>
    <x v="0"/>
  </r>
  <r>
    <x v="0"/>
    <x v="43"/>
    <x v="43"/>
    <x v="3"/>
    <x v="3"/>
    <x v="3"/>
    <x v="11"/>
    <x v="150"/>
    <x v="101"/>
    <x v="120"/>
    <x v="211"/>
    <x v="70"/>
    <x v="309"/>
    <x v="0"/>
  </r>
  <r>
    <x v="0"/>
    <x v="43"/>
    <x v="43"/>
    <x v="25"/>
    <x v="25"/>
    <x v="25"/>
    <x v="11"/>
    <x v="150"/>
    <x v="101"/>
    <x v="115"/>
    <x v="180"/>
    <x v="95"/>
    <x v="143"/>
    <x v="0"/>
  </r>
  <r>
    <x v="0"/>
    <x v="43"/>
    <x v="43"/>
    <x v="13"/>
    <x v="13"/>
    <x v="13"/>
    <x v="13"/>
    <x v="151"/>
    <x v="129"/>
    <x v="115"/>
    <x v="180"/>
    <x v="98"/>
    <x v="168"/>
    <x v="0"/>
  </r>
  <r>
    <x v="0"/>
    <x v="43"/>
    <x v="43"/>
    <x v="124"/>
    <x v="124"/>
    <x v="124"/>
    <x v="13"/>
    <x v="151"/>
    <x v="129"/>
    <x v="72"/>
    <x v="182"/>
    <x v="95"/>
    <x v="143"/>
    <x v="0"/>
  </r>
  <r>
    <x v="0"/>
    <x v="43"/>
    <x v="43"/>
    <x v="58"/>
    <x v="58"/>
    <x v="58"/>
    <x v="13"/>
    <x v="151"/>
    <x v="129"/>
    <x v="72"/>
    <x v="182"/>
    <x v="95"/>
    <x v="143"/>
    <x v="0"/>
  </r>
  <r>
    <x v="0"/>
    <x v="43"/>
    <x v="43"/>
    <x v="125"/>
    <x v="125"/>
    <x v="125"/>
    <x v="13"/>
    <x v="151"/>
    <x v="129"/>
    <x v="72"/>
    <x v="182"/>
    <x v="95"/>
    <x v="143"/>
    <x v="0"/>
  </r>
  <r>
    <x v="0"/>
    <x v="43"/>
    <x v="43"/>
    <x v="121"/>
    <x v="121"/>
    <x v="121"/>
    <x v="13"/>
    <x v="151"/>
    <x v="129"/>
    <x v="120"/>
    <x v="211"/>
    <x v="53"/>
    <x v="224"/>
    <x v="0"/>
  </r>
  <r>
    <x v="0"/>
    <x v="43"/>
    <x v="43"/>
    <x v="31"/>
    <x v="31"/>
    <x v="31"/>
    <x v="13"/>
    <x v="151"/>
    <x v="129"/>
    <x v="115"/>
    <x v="180"/>
    <x v="98"/>
    <x v="168"/>
    <x v="0"/>
  </r>
  <r>
    <x v="0"/>
    <x v="43"/>
    <x v="43"/>
    <x v="32"/>
    <x v="32"/>
    <x v="32"/>
    <x v="13"/>
    <x v="151"/>
    <x v="129"/>
    <x v="72"/>
    <x v="182"/>
    <x v="95"/>
    <x v="143"/>
    <x v="0"/>
  </r>
  <r>
    <x v="0"/>
    <x v="43"/>
    <x v="43"/>
    <x v="33"/>
    <x v="33"/>
    <x v="33"/>
    <x v="13"/>
    <x v="151"/>
    <x v="129"/>
    <x v="120"/>
    <x v="211"/>
    <x v="53"/>
    <x v="224"/>
    <x v="0"/>
  </r>
  <r>
    <x v="0"/>
    <x v="43"/>
    <x v="43"/>
    <x v="10"/>
    <x v="10"/>
    <x v="10"/>
    <x v="13"/>
    <x v="151"/>
    <x v="129"/>
    <x v="72"/>
    <x v="182"/>
    <x v="95"/>
    <x v="143"/>
    <x v="0"/>
  </r>
  <r>
    <x v="0"/>
    <x v="43"/>
    <x v="43"/>
    <x v="9"/>
    <x v="9"/>
    <x v="9"/>
    <x v="13"/>
    <x v="151"/>
    <x v="129"/>
    <x v="115"/>
    <x v="180"/>
    <x v="98"/>
    <x v="168"/>
    <x v="0"/>
  </r>
  <r>
    <x v="0"/>
    <x v="43"/>
    <x v="43"/>
    <x v="4"/>
    <x v="4"/>
    <x v="4"/>
    <x v="13"/>
    <x v="151"/>
    <x v="129"/>
    <x v="115"/>
    <x v="180"/>
    <x v="98"/>
    <x v="168"/>
    <x v="0"/>
  </r>
  <r>
    <x v="0"/>
    <x v="43"/>
    <x v="43"/>
    <x v="24"/>
    <x v="24"/>
    <x v="24"/>
    <x v="13"/>
    <x v="151"/>
    <x v="129"/>
    <x v="72"/>
    <x v="182"/>
    <x v="95"/>
    <x v="143"/>
    <x v="0"/>
  </r>
  <r>
    <x v="0"/>
    <x v="43"/>
    <x v="43"/>
    <x v="52"/>
    <x v="52"/>
    <x v="52"/>
    <x v="13"/>
    <x v="151"/>
    <x v="129"/>
    <x v="115"/>
    <x v="180"/>
    <x v="98"/>
    <x v="168"/>
    <x v="0"/>
  </r>
  <r>
    <x v="0"/>
    <x v="43"/>
    <x v="43"/>
    <x v="120"/>
    <x v="120"/>
    <x v="120"/>
    <x v="13"/>
    <x v="151"/>
    <x v="129"/>
    <x v="120"/>
    <x v="211"/>
    <x v="53"/>
    <x v="224"/>
    <x v="0"/>
  </r>
  <r>
    <x v="0"/>
    <x v="44"/>
    <x v="44"/>
    <x v="46"/>
    <x v="46"/>
    <x v="46"/>
    <x v="0"/>
    <x v="128"/>
    <x v="296"/>
    <x v="70"/>
    <x v="398"/>
    <x v="95"/>
    <x v="310"/>
    <x v="0"/>
  </r>
  <r>
    <x v="0"/>
    <x v="44"/>
    <x v="44"/>
    <x v="0"/>
    <x v="0"/>
    <x v="0"/>
    <x v="1"/>
    <x v="149"/>
    <x v="198"/>
    <x v="55"/>
    <x v="399"/>
    <x v="98"/>
    <x v="168"/>
    <x v="0"/>
  </r>
  <r>
    <x v="0"/>
    <x v="44"/>
    <x v="44"/>
    <x v="7"/>
    <x v="7"/>
    <x v="7"/>
    <x v="2"/>
    <x v="150"/>
    <x v="35"/>
    <x v="115"/>
    <x v="400"/>
    <x v="95"/>
    <x v="310"/>
    <x v="0"/>
  </r>
  <r>
    <x v="0"/>
    <x v="44"/>
    <x v="44"/>
    <x v="69"/>
    <x v="69"/>
    <x v="69"/>
    <x v="3"/>
    <x v="151"/>
    <x v="297"/>
    <x v="115"/>
    <x v="400"/>
    <x v="98"/>
    <x v="168"/>
    <x v="0"/>
  </r>
  <r>
    <x v="0"/>
    <x v="44"/>
    <x v="44"/>
    <x v="38"/>
    <x v="38"/>
    <x v="38"/>
    <x v="3"/>
    <x v="151"/>
    <x v="297"/>
    <x v="115"/>
    <x v="400"/>
    <x v="98"/>
    <x v="168"/>
    <x v="0"/>
  </r>
  <r>
    <x v="0"/>
    <x v="44"/>
    <x v="44"/>
    <x v="34"/>
    <x v="34"/>
    <x v="34"/>
    <x v="3"/>
    <x v="151"/>
    <x v="297"/>
    <x v="115"/>
    <x v="400"/>
    <x v="98"/>
    <x v="168"/>
    <x v="0"/>
  </r>
  <r>
    <x v="0"/>
    <x v="44"/>
    <x v="44"/>
    <x v="24"/>
    <x v="24"/>
    <x v="24"/>
    <x v="3"/>
    <x v="151"/>
    <x v="297"/>
    <x v="115"/>
    <x v="400"/>
    <x v="98"/>
    <x v="168"/>
    <x v="0"/>
  </r>
  <r>
    <x v="0"/>
    <x v="44"/>
    <x v="44"/>
    <x v="2"/>
    <x v="2"/>
    <x v="2"/>
    <x v="3"/>
    <x v="151"/>
    <x v="297"/>
    <x v="115"/>
    <x v="400"/>
    <x v="98"/>
    <x v="168"/>
    <x v="0"/>
  </r>
  <r>
    <x v="0"/>
    <x v="44"/>
    <x v="44"/>
    <x v="126"/>
    <x v="126"/>
    <x v="126"/>
    <x v="3"/>
    <x v="151"/>
    <x v="297"/>
    <x v="72"/>
    <x v="401"/>
    <x v="95"/>
    <x v="310"/>
    <x v="0"/>
  </r>
  <r>
    <x v="0"/>
    <x v="44"/>
    <x v="44"/>
    <x v="8"/>
    <x v="8"/>
    <x v="8"/>
    <x v="3"/>
    <x v="151"/>
    <x v="297"/>
    <x v="115"/>
    <x v="400"/>
    <x v="98"/>
    <x v="168"/>
    <x v="0"/>
  </r>
  <r>
    <x v="0"/>
    <x v="44"/>
    <x v="44"/>
    <x v="3"/>
    <x v="3"/>
    <x v="3"/>
    <x v="10"/>
    <x v="152"/>
    <x v="197"/>
    <x v="72"/>
    <x v="401"/>
    <x v="98"/>
    <x v="168"/>
    <x v="0"/>
  </r>
  <r>
    <x v="0"/>
    <x v="44"/>
    <x v="44"/>
    <x v="17"/>
    <x v="17"/>
    <x v="17"/>
    <x v="10"/>
    <x v="152"/>
    <x v="197"/>
    <x v="120"/>
    <x v="211"/>
    <x v="95"/>
    <x v="310"/>
    <x v="0"/>
  </r>
  <r>
    <x v="0"/>
    <x v="44"/>
    <x v="44"/>
    <x v="57"/>
    <x v="57"/>
    <x v="57"/>
    <x v="10"/>
    <x v="152"/>
    <x v="197"/>
    <x v="120"/>
    <x v="211"/>
    <x v="95"/>
    <x v="310"/>
    <x v="0"/>
  </r>
  <r>
    <x v="0"/>
    <x v="44"/>
    <x v="44"/>
    <x v="86"/>
    <x v="86"/>
    <x v="86"/>
    <x v="10"/>
    <x v="152"/>
    <x v="197"/>
    <x v="72"/>
    <x v="401"/>
    <x v="98"/>
    <x v="168"/>
    <x v="0"/>
  </r>
  <r>
    <x v="0"/>
    <x v="44"/>
    <x v="44"/>
    <x v="40"/>
    <x v="40"/>
    <x v="40"/>
    <x v="10"/>
    <x v="152"/>
    <x v="197"/>
    <x v="72"/>
    <x v="401"/>
    <x v="98"/>
    <x v="168"/>
    <x v="0"/>
  </r>
  <r>
    <x v="0"/>
    <x v="44"/>
    <x v="44"/>
    <x v="14"/>
    <x v="14"/>
    <x v="14"/>
    <x v="10"/>
    <x v="152"/>
    <x v="197"/>
    <x v="72"/>
    <x v="401"/>
    <x v="98"/>
    <x v="168"/>
    <x v="0"/>
  </r>
  <r>
    <x v="0"/>
    <x v="44"/>
    <x v="44"/>
    <x v="78"/>
    <x v="78"/>
    <x v="78"/>
    <x v="10"/>
    <x v="152"/>
    <x v="197"/>
    <x v="120"/>
    <x v="211"/>
    <x v="95"/>
    <x v="310"/>
    <x v="0"/>
  </r>
  <r>
    <x v="0"/>
    <x v="44"/>
    <x v="44"/>
    <x v="121"/>
    <x v="121"/>
    <x v="121"/>
    <x v="10"/>
    <x v="152"/>
    <x v="197"/>
    <x v="120"/>
    <x v="211"/>
    <x v="95"/>
    <x v="310"/>
    <x v="0"/>
  </r>
  <r>
    <x v="0"/>
    <x v="44"/>
    <x v="44"/>
    <x v="50"/>
    <x v="50"/>
    <x v="50"/>
    <x v="10"/>
    <x v="152"/>
    <x v="197"/>
    <x v="72"/>
    <x v="401"/>
    <x v="98"/>
    <x v="168"/>
    <x v="0"/>
  </r>
  <r>
    <x v="0"/>
    <x v="44"/>
    <x v="44"/>
    <x v="51"/>
    <x v="51"/>
    <x v="51"/>
    <x v="10"/>
    <x v="152"/>
    <x v="197"/>
    <x v="120"/>
    <x v="211"/>
    <x v="95"/>
    <x v="310"/>
    <x v="0"/>
  </r>
  <r>
    <x v="0"/>
    <x v="44"/>
    <x v="44"/>
    <x v="127"/>
    <x v="127"/>
    <x v="127"/>
    <x v="10"/>
    <x v="152"/>
    <x v="197"/>
    <x v="72"/>
    <x v="401"/>
    <x v="98"/>
    <x v="168"/>
    <x v="0"/>
  </r>
  <r>
    <x v="0"/>
    <x v="44"/>
    <x v="44"/>
    <x v="103"/>
    <x v="103"/>
    <x v="103"/>
    <x v="10"/>
    <x v="152"/>
    <x v="197"/>
    <x v="72"/>
    <x v="401"/>
    <x v="98"/>
    <x v="168"/>
    <x v="0"/>
  </r>
  <r>
    <x v="0"/>
    <x v="44"/>
    <x v="44"/>
    <x v="65"/>
    <x v="65"/>
    <x v="65"/>
    <x v="10"/>
    <x v="152"/>
    <x v="197"/>
    <x v="120"/>
    <x v="211"/>
    <x v="98"/>
    <x v="168"/>
    <x v="0"/>
  </r>
  <r>
    <x v="0"/>
    <x v="44"/>
    <x v="44"/>
    <x v="66"/>
    <x v="66"/>
    <x v="66"/>
    <x v="10"/>
    <x v="152"/>
    <x v="197"/>
    <x v="72"/>
    <x v="401"/>
    <x v="98"/>
    <x v="168"/>
    <x v="0"/>
  </r>
  <r>
    <x v="0"/>
    <x v="44"/>
    <x v="44"/>
    <x v="29"/>
    <x v="29"/>
    <x v="29"/>
    <x v="10"/>
    <x v="152"/>
    <x v="197"/>
    <x v="72"/>
    <x v="401"/>
    <x v="98"/>
    <x v="168"/>
    <x v="0"/>
  </r>
  <r>
    <x v="0"/>
    <x v="44"/>
    <x v="44"/>
    <x v="19"/>
    <x v="19"/>
    <x v="19"/>
    <x v="10"/>
    <x v="152"/>
    <x v="197"/>
    <x v="72"/>
    <x v="401"/>
    <x v="98"/>
    <x v="168"/>
    <x v="0"/>
  </r>
  <r>
    <x v="0"/>
    <x v="44"/>
    <x v="44"/>
    <x v="31"/>
    <x v="31"/>
    <x v="31"/>
    <x v="10"/>
    <x v="152"/>
    <x v="197"/>
    <x v="72"/>
    <x v="401"/>
    <x v="98"/>
    <x v="168"/>
    <x v="0"/>
  </r>
  <r>
    <x v="0"/>
    <x v="44"/>
    <x v="44"/>
    <x v="6"/>
    <x v="6"/>
    <x v="6"/>
    <x v="10"/>
    <x v="152"/>
    <x v="197"/>
    <x v="72"/>
    <x v="401"/>
    <x v="98"/>
    <x v="168"/>
    <x v="0"/>
  </r>
  <r>
    <x v="0"/>
    <x v="44"/>
    <x v="44"/>
    <x v="16"/>
    <x v="16"/>
    <x v="16"/>
    <x v="10"/>
    <x v="152"/>
    <x v="197"/>
    <x v="120"/>
    <x v="211"/>
    <x v="95"/>
    <x v="310"/>
    <x v="0"/>
  </r>
  <r>
    <x v="0"/>
    <x v="44"/>
    <x v="44"/>
    <x v="72"/>
    <x v="72"/>
    <x v="72"/>
    <x v="10"/>
    <x v="152"/>
    <x v="197"/>
    <x v="120"/>
    <x v="211"/>
    <x v="95"/>
    <x v="310"/>
    <x v="0"/>
  </r>
  <r>
    <x v="0"/>
    <x v="44"/>
    <x v="44"/>
    <x v="33"/>
    <x v="33"/>
    <x v="33"/>
    <x v="10"/>
    <x v="152"/>
    <x v="197"/>
    <x v="72"/>
    <x v="401"/>
    <x v="98"/>
    <x v="168"/>
    <x v="0"/>
  </r>
  <r>
    <x v="0"/>
    <x v="44"/>
    <x v="44"/>
    <x v="10"/>
    <x v="10"/>
    <x v="10"/>
    <x v="10"/>
    <x v="152"/>
    <x v="197"/>
    <x v="72"/>
    <x v="401"/>
    <x v="98"/>
    <x v="168"/>
    <x v="0"/>
  </r>
  <r>
    <x v="0"/>
    <x v="44"/>
    <x v="44"/>
    <x v="128"/>
    <x v="128"/>
    <x v="128"/>
    <x v="10"/>
    <x v="152"/>
    <x v="197"/>
    <x v="120"/>
    <x v="211"/>
    <x v="95"/>
    <x v="310"/>
    <x v="0"/>
  </r>
  <r>
    <x v="0"/>
    <x v="44"/>
    <x v="44"/>
    <x v="129"/>
    <x v="129"/>
    <x v="129"/>
    <x v="10"/>
    <x v="152"/>
    <x v="197"/>
    <x v="120"/>
    <x v="211"/>
    <x v="95"/>
    <x v="310"/>
    <x v="0"/>
  </r>
  <r>
    <x v="0"/>
    <x v="44"/>
    <x v="44"/>
    <x v="9"/>
    <x v="9"/>
    <x v="9"/>
    <x v="10"/>
    <x v="152"/>
    <x v="197"/>
    <x v="72"/>
    <x v="401"/>
    <x v="98"/>
    <x v="168"/>
    <x v="0"/>
  </r>
  <r>
    <x v="0"/>
    <x v="44"/>
    <x v="44"/>
    <x v="130"/>
    <x v="130"/>
    <x v="130"/>
    <x v="10"/>
    <x v="152"/>
    <x v="197"/>
    <x v="120"/>
    <x v="211"/>
    <x v="98"/>
    <x v="168"/>
    <x v="0"/>
  </r>
  <r>
    <x v="0"/>
    <x v="44"/>
    <x v="44"/>
    <x v="37"/>
    <x v="37"/>
    <x v="37"/>
    <x v="10"/>
    <x v="152"/>
    <x v="197"/>
    <x v="72"/>
    <x v="401"/>
    <x v="98"/>
    <x v="168"/>
    <x v="0"/>
  </r>
  <r>
    <x v="0"/>
    <x v="44"/>
    <x v="44"/>
    <x v="11"/>
    <x v="11"/>
    <x v="11"/>
    <x v="10"/>
    <x v="152"/>
    <x v="197"/>
    <x v="72"/>
    <x v="401"/>
    <x v="98"/>
    <x v="168"/>
    <x v="0"/>
  </r>
  <r>
    <x v="0"/>
    <x v="44"/>
    <x v="44"/>
    <x v="54"/>
    <x v="54"/>
    <x v="54"/>
    <x v="10"/>
    <x v="152"/>
    <x v="197"/>
    <x v="72"/>
    <x v="401"/>
    <x v="98"/>
    <x v="168"/>
    <x v="0"/>
  </r>
  <r>
    <x v="0"/>
    <x v="44"/>
    <x v="44"/>
    <x v="77"/>
    <x v="77"/>
    <x v="77"/>
    <x v="10"/>
    <x v="152"/>
    <x v="197"/>
    <x v="120"/>
    <x v="211"/>
    <x v="95"/>
    <x v="310"/>
    <x v="0"/>
  </r>
  <r>
    <x v="0"/>
    <x v="45"/>
    <x v="45"/>
    <x v="3"/>
    <x v="3"/>
    <x v="3"/>
    <x v="0"/>
    <x v="146"/>
    <x v="298"/>
    <x v="55"/>
    <x v="307"/>
    <x v="70"/>
    <x v="303"/>
    <x v="0"/>
  </r>
  <r>
    <x v="0"/>
    <x v="45"/>
    <x v="45"/>
    <x v="0"/>
    <x v="0"/>
    <x v="0"/>
    <x v="1"/>
    <x v="148"/>
    <x v="299"/>
    <x v="78"/>
    <x v="360"/>
    <x v="98"/>
    <x v="168"/>
    <x v="0"/>
  </r>
  <r>
    <x v="0"/>
    <x v="45"/>
    <x v="45"/>
    <x v="6"/>
    <x v="6"/>
    <x v="6"/>
    <x v="2"/>
    <x v="149"/>
    <x v="113"/>
    <x v="115"/>
    <x v="309"/>
    <x v="53"/>
    <x v="304"/>
    <x v="0"/>
  </r>
  <r>
    <x v="0"/>
    <x v="45"/>
    <x v="45"/>
    <x v="10"/>
    <x v="10"/>
    <x v="10"/>
    <x v="2"/>
    <x v="149"/>
    <x v="113"/>
    <x v="80"/>
    <x v="402"/>
    <x v="95"/>
    <x v="305"/>
    <x v="0"/>
  </r>
  <r>
    <x v="0"/>
    <x v="45"/>
    <x v="45"/>
    <x v="2"/>
    <x v="2"/>
    <x v="2"/>
    <x v="2"/>
    <x v="149"/>
    <x v="113"/>
    <x v="55"/>
    <x v="307"/>
    <x v="98"/>
    <x v="168"/>
    <x v="0"/>
  </r>
  <r>
    <x v="0"/>
    <x v="45"/>
    <x v="45"/>
    <x v="13"/>
    <x v="13"/>
    <x v="13"/>
    <x v="5"/>
    <x v="150"/>
    <x v="300"/>
    <x v="80"/>
    <x v="402"/>
    <x v="98"/>
    <x v="168"/>
    <x v="0"/>
  </r>
  <r>
    <x v="0"/>
    <x v="45"/>
    <x v="45"/>
    <x v="50"/>
    <x v="50"/>
    <x v="50"/>
    <x v="5"/>
    <x v="150"/>
    <x v="300"/>
    <x v="120"/>
    <x v="211"/>
    <x v="70"/>
    <x v="303"/>
    <x v="0"/>
  </r>
  <r>
    <x v="0"/>
    <x v="45"/>
    <x v="45"/>
    <x v="131"/>
    <x v="131"/>
    <x v="131"/>
    <x v="5"/>
    <x v="150"/>
    <x v="300"/>
    <x v="115"/>
    <x v="309"/>
    <x v="95"/>
    <x v="305"/>
    <x v="0"/>
  </r>
  <r>
    <x v="0"/>
    <x v="45"/>
    <x v="45"/>
    <x v="51"/>
    <x v="51"/>
    <x v="51"/>
    <x v="5"/>
    <x v="150"/>
    <x v="300"/>
    <x v="120"/>
    <x v="211"/>
    <x v="70"/>
    <x v="303"/>
    <x v="0"/>
  </r>
  <r>
    <x v="0"/>
    <x v="45"/>
    <x v="45"/>
    <x v="69"/>
    <x v="69"/>
    <x v="69"/>
    <x v="5"/>
    <x v="150"/>
    <x v="300"/>
    <x v="80"/>
    <x v="402"/>
    <x v="98"/>
    <x v="168"/>
    <x v="0"/>
  </r>
  <r>
    <x v="0"/>
    <x v="45"/>
    <x v="45"/>
    <x v="7"/>
    <x v="7"/>
    <x v="7"/>
    <x v="5"/>
    <x v="150"/>
    <x v="300"/>
    <x v="80"/>
    <x v="402"/>
    <x v="98"/>
    <x v="168"/>
    <x v="0"/>
  </r>
  <r>
    <x v="0"/>
    <x v="45"/>
    <x v="45"/>
    <x v="33"/>
    <x v="33"/>
    <x v="33"/>
    <x v="5"/>
    <x v="150"/>
    <x v="300"/>
    <x v="72"/>
    <x v="403"/>
    <x v="53"/>
    <x v="304"/>
    <x v="0"/>
  </r>
  <r>
    <x v="0"/>
    <x v="45"/>
    <x v="45"/>
    <x v="12"/>
    <x v="12"/>
    <x v="12"/>
    <x v="5"/>
    <x v="150"/>
    <x v="300"/>
    <x v="115"/>
    <x v="309"/>
    <x v="95"/>
    <x v="305"/>
    <x v="0"/>
  </r>
  <r>
    <x v="0"/>
    <x v="45"/>
    <x v="45"/>
    <x v="17"/>
    <x v="17"/>
    <x v="17"/>
    <x v="13"/>
    <x v="151"/>
    <x v="301"/>
    <x v="115"/>
    <x v="309"/>
    <x v="98"/>
    <x v="168"/>
    <x v="0"/>
  </r>
  <r>
    <x v="0"/>
    <x v="45"/>
    <x v="45"/>
    <x v="124"/>
    <x v="124"/>
    <x v="124"/>
    <x v="13"/>
    <x v="151"/>
    <x v="301"/>
    <x v="115"/>
    <x v="309"/>
    <x v="98"/>
    <x v="168"/>
    <x v="0"/>
  </r>
  <r>
    <x v="0"/>
    <x v="45"/>
    <x v="45"/>
    <x v="49"/>
    <x v="49"/>
    <x v="49"/>
    <x v="13"/>
    <x v="151"/>
    <x v="301"/>
    <x v="72"/>
    <x v="403"/>
    <x v="95"/>
    <x v="305"/>
    <x v="0"/>
  </r>
  <r>
    <x v="0"/>
    <x v="45"/>
    <x v="45"/>
    <x v="40"/>
    <x v="40"/>
    <x v="40"/>
    <x v="13"/>
    <x v="151"/>
    <x v="301"/>
    <x v="115"/>
    <x v="309"/>
    <x v="98"/>
    <x v="168"/>
    <x v="0"/>
  </r>
  <r>
    <x v="0"/>
    <x v="45"/>
    <x v="45"/>
    <x v="14"/>
    <x v="14"/>
    <x v="14"/>
    <x v="13"/>
    <x v="151"/>
    <x v="301"/>
    <x v="115"/>
    <x v="309"/>
    <x v="98"/>
    <x v="168"/>
    <x v="0"/>
  </r>
  <r>
    <x v="0"/>
    <x v="45"/>
    <x v="45"/>
    <x v="125"/>
    <x v="125"/>
    <x v="125"/>
    <x v="13"/>
    <x v="151"/>
    <x v="301"/>
    <x v="120"/>
    <x v="211"/>
    <x v="53"/>
    <x v="304"/>
    <x v="0"/>
  </r>
  <r>
    <x v="0"/>
    <x v="45"/>
    <x v="45"/>
    <x v="110"/>
    <x v="110"/>
    <x v="110"/>
    <x v="13"/>
    <x v="151"/>
    <x v="301"/>
    <x v="120"/>
    <x v="211"/>
    <x v="53"/>
    <x v="304"/>
    <x v="0"/>
  </r>
  <r>
    <x v="0"/>
    <x v="45"/>
    <x v="45"/>
    <x v="132"/>
    <x v="132"/>
    <x v="132"/>
    <x v="13"/>
    <x v="151"/>
    <x v="301"/>
    <x v="72"/>
    <x v="403"/>
    <x v="95"/>
    <x v="305"/>
    <x v="0"/>
  </r>
  <r>
    <x v="0"/>
    <x v="45"/>
    <x v="45"/>
    <x v="38"/>
    <x v="38"/>
    <x v="38"/>
    <x v="13"/>
    <x v="151"/>
    <x v="301"/>
    <x v="115"/>
    <x v="309"/>
    <x v="98"/>
    <x v="168"/>
    <x v="0"/>
  </r>
  <r>
    <x v="0"/>
    <x v="45"/>
    <x v="45"/>
    <x v="115"/>
    <x v="115"/>
    <x v="115"/>
    <x v="13"/>
    <x v="151"/>
    <x v="301"/>
    <x v="72"/>
    <x v="403"/>
    <x v="95"/>
    <x v="305"/>
    <x v="0"/>
  </r>
  <r>
    <x v="0"/>
    <x v="45"/>
    <x v="45"/>
    <x v="37"/>
    <x v="37"/>
    <x v="37"/>
    <x v="13"/>
    <x v="151"/>
    <x v="301"/>
    <x v="115"/>
    <x v="309"/>
    <x v="98"/>
    <x v="168"/>
    <x v="0"/>
  </r>
  <r>
    <x v="0"/>
    <x v="45"/>
    <x v="45"/>
    <x v="11"/>
    <x v="11"/>
    <x v="11"/>
    <x v="13"/>
    <x v="151"/>
    <x v="301"/>
    <x v="115"/>
    <x v="309"/>
    <x v="98"/>
    <x v="168"/>
    <x v="0"/>
  </r>
  <r>
    <x v="0"/>
    <x v="45"/>
    <x v="45"/>
    <x v="8"/>
    <x v="8"/>
    <x v="8"/>
    <x v="13"/>
    <x v="151"/>
    <x v="301"/>
    <x v="115"/>
    <x v="309"/>
    <x v="98"/>
    <x v="168"/>
    <x v="0"/>
  </r>
  <r>
    <x v="0"/>
    <x v="46"/>
    <x v="46"/>
    <x v="3"/>
    <x v="3"/>
    <x v="3"/>
    <x v="0"/>
    <x v="150"/>
    <x v="302"/>
    <x v="115"/>
    <x v="404"/>
    <x v="95"/>
    <x v="311"/>
    <x v="0"/>
  </r>
  <r>
    <x v="0"/>
    <x v="46"/>
    <x v="46"/>
    <x v="69"/>
    <x v="69"/>
    <x v="69"/>
    <x v="0"/>
    <x v="150"/>
    <x v="302"/>
    <x v="115"/>
    <x v="404"/>
    <x v="95"/>
    <x v="311"/>
    <x v="0"/>
  </r>
  <r>
    <x v="0"/>
    <x v="46"/>
    <x v="46"/>
    <x v="15"/>
    <x v="15"/>
    <x v="15"/>
    <x v="0"/>
    <x v="150"/>
    <x v="302"/>
    <x v="120"/>
    <x v="211"/>
    <x v="95"/>
    <x v="311"/>
    <x v="0"/>
  </r>
  <r>
    <x v="0"/>
    <x v="46"/>
    <x v="46"/>
    <x v="46"/>
    <x v="46"/>
    <x v="46"/>
    <x v="0"/>
    <x v="150"/>
    <x v="302"/>
    <x v="80"/>
    <x v="405"/>
    <x v="98"/>
    <x v="168"/>
    <x v="0"/>
  </r>
  <r>
    <x v="0"/>
    <x v="46"/>
    <x v="46"/>
    <x v="7"/>
    <x v="7"/>
    <x v="7"/>
    <x v="4"/>
    <x v="151"/>
    <x v="198"/>
    <x v="72"/>
    <x v="175"/>
    <x v="95"/>
    <x v="311"/>
    <x v="0"/>
  </r>
  <r>
    <x v="0"/>
    <x v="46"/>
    <x v="46"/>
    <x v="2"/>
    <x v="2"/>
    <x v="2"/>
    <x v="4"/>
    <x v="151"/>
    <x v="198"/>
    <x v="115"/>
    <x v="404"/>
    <x v="98"/>
    <x v="168"/>
    <x v="0"/>
  </r>
  <r>
    <x v="0"/>
    <x v="46"/>
    <x v="46"/>
    <x v="13"/>
    <x v="13"/>
    <x v="13"/>
    <x v="6"/>
    <x v="152"/>
    <x v="297"/>
    <x v="72"/>
    <x v="175"/>
    <x v="98"/>
    <x v="168"/>
    <x v="0"/>
  </r>
  <r>
    <x v="0"/>
    <x v="46"/>
    <x v="46"/>
    <x v="49"/>
    <x v="49"/>
    <x v="49"/>
    <x v="6"/>
    <x v="152"/>
    <x v="297"/>
    <x v="72"/>
    <x v="175"/>
    <x v="98"/>
    <x v="168"/>
    <x v="0"/>
  </r>
  <r>
    <x v="0"/>
    <x v="46"/>
    <x v="46"/>
    <x v="78"/>
    <x v="78"/>
    <x v="78"/>
    <x v="6"/>
    <x v="152"/>
    <x v="297"/>
    <x v="72"/>
    <x v="175"/>
    <x v="98"/>
    <x v="168"/>
    <x v="0"/>
  </r>
  <r>
    <x v="0"/>
    <x v="46"/>
    <x v="46"/>
    <x v="50"/>
    <x v="50"/>
    <x v="50"/>
    <x v="6"/>
    <x v="152"/>
    <x v="297"/>
    <x v="72"/>
    <x v="175"/>
    <x v="98"/>
    <x v="168"/>
    <x v="0"/>
  </r>
  <r>
    <x v="0"/>
    <x v="46"/>
    <x v="46"/>
    <x v="30"/>
    <x v="30"/>
    <x v="30"/>
    <x v="6"/>
    <x v="152"/>
    <x v="297"/>
    <x v="72"/>
    <x v="175"/>
    <x v="98"/>
    <x v="168"/>
    <x v="0"/>
  </r>
  <r>
    <x v="0"/>
    <x v="46"/>
    <x v="46"/>
    <x v="6"/>
    <x v="6"/>
    <x v="6"/>
    <x v="6"/>
    <x v="152"/>
    <x v="297"/>
    <x v="72"/>
    <x v="175"/>
    <x v="98"/>
    <x v="168"/>
    <x v="0"/>
  </r>
  <r>
    <x v="0"/>
    <x v="46"/>
    <x v="46"/>
    <x v="33"/>
    <x v="33"/>
    <x v="33"/>
    <x v="6"/>
    <x v="152"/>
    <x v="297"/>
    <x v="120"/>
    <x v="211"/>
    <x v="95"/>
    <x v="311"/>
    <x v="0"/>
  </r>
  <r>
    <x v="0"/>
    <x v="46"/>
    <x v="46"/>
    <x v="1"/>
    <x v="1"/>
    <x v="1"/>
    <x v="6"/>
    <x v="152"/>
    <x v="297"/>
    <x v="120"/>
    <x v="211"/>
    <x v="95"/>
    <x v="311"/>
    <x v="0"/>
  </r>
  <r>
    <x v="0"/>
    <x v="46"/>
    <x v="46"/>
    <x v="21"/>
    <x v="21"/>
    <x v="21"/>
    <x v="6"/>
    <x v="152"/>
    <x v="297"/>
    <x v="120"/>
    <x v="211"/>
    <x v="95"/>
    <x v="311"/>
    <x v="0"/>
  </r>
  <r>
    <x v="0"/>
    <x v="46"/>
    <x v="46"/>
    <x v="116"/>
    <x v="116"/>
    <x v="116"/>
    <x v="6"/>
    <x v="152"/>
    <x v="297"/>
    <x v="120"/>
    <x v="211"/>
    <x v="95"/>
    <x v="311"/>
    <x v="0"/>
  </r>
  <r>
    <x v="0"/>
    <x v="46"/>
    <x v="46"/>
    <x v="76"/>
    <x v="76"/>
    <x v="76"/>
    <x v="6"/>
    <x v="152"/>
    <x v="297"/>
    <x v="72"/>
    <x v="175"/>
    <x v="98"/>
    <x v="168"/>
    <x v="0"/>
  </r>
  <r>
    <x v="0"/>
    <x v="46"/>
    <x v="46"/>
    <x v="9"/>
    <x v="9"/>
    <x v="9"/>
    <x v="6"/>
    <x v="152"/>
    <x v="297"/>
    <x v="72"/>
    <x v="175"/>
    <x v="98"/>
    <x v="168"/>
    <x v="0"/>
  </r>
  <r>
    <x v="0"/>
    <x v="46"/>
    <x v="46"/>
    <x v="24"/>
    <x v="24"/>
    <x v="24"/>
    <x v="6"/>
    <x v="152"/>
    <x v="297"/>
    <x v="120"/>
    <x v="211"/>
    <x v="95"/>
    <x v="311"/>
    <x v="0"/>
  </r>
  <r>
    <x v="0"/>
    <x v="46"/>
    <x v="46"/>
    <x v="0"/>
    <x v="0"/>
    <x v="0"/>
    <x v="6"/>
    <x v="152"/>
    <x v="297"/>
    <x v="72"/>
    <x v="175"/>
    <x v="98"/>
    <x v="168"/>
    <x v="0"/>
  </r>
  <r>
    <x v="0"/>
    <x v="46"/>
    <x v="46"/>
    <x v="133"/>
    <x v="133"/>
    <x v="133"/>
    <x v="6"/>
    <x v="152"/>
    <x v="297"/>
    <x v="120"/>
    <x v="211"/>
    <x v="98"/>
    <x v="168"/>
    <x v="3"/>
  </r>
  <r>
    <x v="0"/>
    <x v="47"/>
    <x v="47"/>
    <x v="13"/>
    <x v="13"/>
    <x v="13"/>
    <x v="0"/>
    <x v="149"/>
    <x v="303"/>
    <x v="55"/>
    <x v="394"/>
    <x v="98"/>
    <x v="168"/>
    <x v="0"/>
  </r>
  <r>
    <x v="0"/>
    <x v="47"/>
    <x v="47"/>
    <x v="0"/>
    <x v="0"/>
    <x v="0"/>
    <x v="0"/>
    <x v="149"/>
    <x v="303"/>
    <x v="55"/>
    <x v="394"/>
    <x v="98"/>
    <x v="168"/>
    <x v="0"/>
  </r>
  <r>
    <x v="0"/>
    <x v="47"/>
    <x v="47"/>
    <x v="33"/>
    <x v="33"/>
    <x v="33"/>
    <x v="2"/>
    <x v="150"/>
    <x v="190"/>
    <x v="120"/>
    <x v="211"/>
    <x v="70"/>
    <x v="312"/>
    <x v="0"/>
  </r>
  <r>
    <x v="0"/>
    <x v="47"/>
    <x v="47"/>
    <x v="17"/>
    <x v="17"/>
    <x v="17"/>
    <x v="3"/>
    <x v="151"/>
    <x v="211"/>
    <x v="72"/>
    <x v="180"/>
    <x v="95"/>
    <x v="303"/>
    <x v="0"/>
  </r>
  <r>
    <x v="0"/>
    <x v="47"/>
    <x v="47"/>
    <x v="40"/>
    <x v="40"/>
    <x v="40"/>
    <x v="3"/>
    <x v="151"/>
    <x v="211"/>
    <x v="115"/>
    <x v="101"/>
    <x v="98"/>
    <x v="168"/>
    <x v="0"/>
  </r>
  <r>
    <x v="0"/>
    <x v="47"/>
    <x v="47"/>
    <x v="27"/>
    <x v="27"/>
    <x v="27"/>
    <x v="3"/>
    <x v="151"/>
    <x v="211"/>
    <x v="72"/>
    <x v="180"/>
    <x v="95"/>
    <x v="303"/>
    <x v="0"/>
  </r>
  <r>
    <x v="0"/>
    <x v="47"/>
    <x v="47"/>
    <x v="12"/>
    <x v="12"/>
    <x v="12"/>
    <x v="3"/>
    <x v="151"/>
    <x v="211"/>
    <x v="115"/>
    <x v="101"/>
    <x v="98"/>
    <x v="168"/>
    <x v="0"/>
  </r>
  <r>
    <x v="0"/>
    <x v="47"/>
    <x v="47"/>
    <x v="134"/>
    <x v="134"/>
    <x v="134"/>
    <x v="7"/>
    <x v="152"/>
    <x v="25"/>
    <x v="120"/>
    <x v="211"/>
    <x v="95"/>
    <x v="303"/>
    <x v="0"/>
  </r>
  <r>
    <x v="0"/>
    <x v="47"/>
    <x v="47"/>
    <x v="3"/>
    <x v="3"/>
    <x v="3"/>
    <x v="7"/>
    <x v="152"/>
    <x v="25"/>
    <x v="120"/>
    <x v="211"/>
    <x v="95"/>
    <x v="303"/>
    <x v="0"/>
  </r>
  <r>
    <x v="0"/>
    <x v="47"/>
    <x v="47"/>
    <x v="100"/>
    <x v="100"/>
    <x v="100"/>
    <x v="7"/>
    <x v="152"/>
    <x v="25"/>
    <x v="72"/>
    <x v="180"/>
    <x v="98"/>
    <x v="168"/>
    <x v="0"/>
  </r>
  <r>
    <x v="0"/>
    <x v="47"/>
    <x v="47"/>
    <x v="86"/>
    <x v="86"/>
    <x v="86"/>
    <x v="7"/>
    <x v="152"/>
    <x v="25"/>
    <x v="72"/>
    <x v="180"/>
    <x v="98"/>
    <x v="168"/>
    <x v="0"/>
  </r>
  <r>
    <x v="0"/>
    <x v="47"/>
    <x v="47"/>
    <x v="14"/>
    <x v="14"/>
    <x v="14"/>
    <x v="7"/>
    <x v="152"/>
    <x v="25"/>
    <x v="72"/>
    <x v="180"/>
    <x v="98"/>
    <x v="168"/>
    <x v="0"/>
  </r>
  <r>
    <x v="0"/>
    <x v="47"/>
    <x v="47"/>
    <x v="109"/>
    <x v="109"/>
    <x v="109"/>
    <x v="7"/>
    <x v="152"/>
    <x v="25"/>
    <x v="72"/>
    <x v="180"/>
    <x v="98"/>
    <x v="168"/>
    <x v="0"/>
  </r>
  <r>
    <x v="0"/>
    <x v="47"/>
    <x v="47"/>
    <x v="60"/>
    <x v="60"/>
    <x v="60"/>
    <x v="7"/>
    <x v="152"/>
    <x v="25"/>
    <x v="72"/>
    <x v="180"/>
    <x v="98"/>
    <x v="168"/>
    <x v="0"/>
  </r>
  <r>
    <x v="0"/>
    <x v="47"/>
    <x v="47"/>
    <x v="90"/>
    <x v="90"/>
    <x v="90"/>
    <x v="7"/>
    <x v="152"/>
    <x v="25"/>
    <x v="120"/>
    <x v="211"/>
    <x v="95"/>
    <x v="303"/>
    <x v="0"/>
  </r>
  <r>
    <x v="0"/>
    <x v="47"/>
    <x v="47"/>
    <x v="135"/>
    <x v="135"/>
    <x v="135"/>
    <x v="7"/>
    <x v="152"/>
    <x v="25"/>
    <x v="72"/>
    <x v="180"/>
    <x v="98"/>
    <x v="168"/>
    <x v="0"/>
  </r>
  <r>
    <x v="0"/>
    <x v="47"/>
    <x v="47"/>
    <x v="51"/>
    <x v="51"/>
    <x v="51"/>
    <x v="7"/>
    <x v="152"/>
    <x v="25"/>
    <x v="72"/>
    <x v="180"/>
    <x v="98"/>
    <x v="168"/>
    <x v="0"/>
  </r>
  <r>
    <x v="0"/>
    <x v="47"/>
    <x v="47"/>
    <x v="62"/>
    <x v="62"/>
    <x v="62"/>
    <x v="7"/>
    <x v="152"/>
    <x v="25"/>
    <x v="72"/>
    <x v="180"/>
    <x v="98"/>
    <x v="168"/>
    <x v="0"/>
  </r>
  <r>
    <x v="0"/>
    <x v="47"/>
    <x v="47"/>
    <x v="65"/>
    <x v="65"/>
    <x v="65"/>
    <x v="7"/>
    <x v="152"/>
    <x v="25"/>
    <x v="120"/>
    <x v="211"/>
    <x v="98"/>
    <x v="168"/>
    <x v="0"/>
  </r>
  <r>
    <x v="0"/>
    <x v="47"/>
    <x v="47"/>
    <x v="136"/>
    <x v="136"/>
    <x v="136"/>
    <x v="7"/>
    <x v="152"/>
    <x v="25"/>
    <x v="120"/>
    <x v="211"/>
    <x v="95"/>
    <x v="303"/>
    <x v="0"/>
  </r>
  <r>
    <x v="0"/>
    <x v="47"/>
    <x v="47"/>
    <x v="67"/>
    <x v="67"/>
    <x v="67"/>
    <x v="7"/>
    <x v="152"/>
    <x v="25"/>
    <x v="72"/>
    <x v="180"/>
    <x v="98"/>
    <x v="168"/>
    <x v="0"/>
  </r>
  <r>
    <x v="0"/>
    <x v="47"/>
    <x v="47"/>
    <x v="137"/>
    <x v="137"/>
    <x v="137"/>
    <x v="7"/>
    <x v="152"/>
    <x v="25"/>
    <x v="72"/>
    <x v="180"/>
    <x v="98"/>
    <x v="168"/>
    <x v="0"/>
  </r>
  <r>
    <x v="0"/>
    <x v="47"/>
    <x v="47"/>
    <x v="82"/>
    <x v="82"/>
    <x v="82"/>
    <x v="7"/>
    <x v="152"/>
    <x v="25"/>
    <x v="120"/>
    <x v="211"/>
    <x v="95"/>
    <x v="303"/>
    <x v="0"/>
  </r>
  <r>
    <x v="0"/>
    <x v="47"/>
    <x v="47"/>
    <x v="138"/>
    <x v="138"/>
    <x v="138"/>
    <x v="7"/>
    <x v="152"/>
    <x v="25"/>
    <x v="72"/>
    <x v="180"/>
    <x v="98"/>
    <x v="168"/>
    <x v="0"/>
  </r>
  <r>
    <x v="0"/>
    <x v="47"/>
    <x v="47"/>
    <x v="38"/>
    <x v="38"/>
    <x v="38"/>
    <x v="7"/>
    <x v="152"/>
    <x v="25"/>
    <x v="72"/>
    <x v="180"/>
    <x v="98"/>
    <x v="168"/>
    <x v="0"/>
  </r>
  <r>
    <x v="0"/>
    <x v="47"/>
    <x v="47"/>
    <x v="31"/>
    <x v="31"/>
    <x v="31"/>
    <x v="7"/>
    <x v="152"/>
    <x v="25"/>
    <x v="72"/>
    <x v="180"/>
    <x v="98"/>
    <x v="168"/>
    <x v="0"/>
  </r>
  <r>
    <x v="0"/>
    <x v="47"/>
    <x v="47"/>
    <x v="6"/>
    <x v="6"/>
    <x v="6"/>
    <x v="7"/>
    <x v="152"/>
    <x v="25"/>
    <x v="72"/>
    <x v="180"/>
    <x v="98"/>
    <x v="168"/>
    <x v="0"/>
  </r>
  <r>
    <x v="0"/>
    <x v="47"/>
    <x v="47"/>
    <x v="32"/>
    <x v="32"/>
    <x v="32"/>
    <x v="7"/>
    <x v="152"/>
    <x v="25"/>
    <x v="72"/>
    <x v="180"/>
    <x v="98"/>
    <x v="168"/>
    <x v="0"/>
  </r>
  <r>
    <x v="0"/>
    <x v="47"/>
    <x v="47"/>
    <x v="70"/>
    <x v="70"/>
    <x v="70"/>
    <x v="7"/>
    <x v="152"/>
    <x v="25"/>
    <x v="72"/>
    <x v="180"/>
    <x v="98"/>
    <x v="168"/>
    <x v="0"/>
  </r>
  <r>
    <x v="0"/>
    <x v="47"/>
    <x v="47"/>
    <x v="1"/>
    <x v="1"/>
    <x v="1"/>
    <x v="7"/>
    <x v="152"/>
    <x v="25"/>
    <x v="72"/>
    <x v="180"/>
    <x v="98"/>
    <x v="168"/>
    <x v="0"/>
  </r>
  <r>
    <x v="0"/>
    <x v="47"/>
    <x v="47"/>
    <x v="74"/>
    <x v="74"/>
    <x v="74"/>
    <x v="7"/>
    <x v="152"/>
    <x v="25"/>
    <x v="72"/>
    <x v="180"/>
    <x v="98"/>
    <x v="168"/>
    <x v="0"/>
  </r>
  <r>
    <x v="0"/>
    <x v="47"/>
    <x v="47"/>
    <x v="116"/>
    <x v="116"/>
    <x v="116"/>
    <x v="7"/>
    <x v="152"/>
    <x v="25"/>
    <x v="120"/>
    <x v="211"/>
    <x v="95"/>
    <x v="303"/>
    <x v="0"/>
  </r>
  <r>
    <x v="0"/>
    <x v="47"/>
    <x v="47"/>
    <x v="46"/>
    <x v="46"/>
    <x v="46"/>
    <x v="7"/>
    <x v="152"/>
    <x v="25"/>
    <x v="72"/>
    <x v="180"/>
    <x v="98"/>
    <x v="168"/>
    <x v="0"/>
  </r>
  <r>
    <x v="0"/>
    <x v="47"/>
    <x v="47"/>
    <x v="5"/>
    <x v="5"/>
    <x v="5"/>
    <x v="7"/>
    <x v="152"/>
    <x v="25"/>
    <x v="72"/>
    <x v="180"/>
    <x v="98"/>
    <x v="168"/>
    <x v="0"/>
  </r>
  <r>
    <x v="0"/>
    <x v="47"/>
    <x v="47"/>
    <x v="2"/>
    <x v="2"/>
    <x v="2"/>
    <x v="7"/>
    <x v="152"/>
    <x v="25"/>
    <x v="72"/>
    <x v="180"/>
    <x v="98"/>
    <x v="168"/>
    <x v="0"/>
  </r>
  <r>
    <x v="0"/>
    <x v="47"/>
    <x v="47"/>
    <x v="26"/>
    <x v="26"/>
    <x v="26"/>
    <x v="7"/>
    <x v="152"/>
    <x v="25"/>
    <x v="72"/>
    <x v="180"/>
    <x v="98"/>
    <x v="168"/>
    <x v="0"/>
  </r>
  <r>
    <x v="0"/>
    <x v="47"/>
    <x v="47"/>
    <x v="117"/>
    <x v="117"/>
    <x v="117"/>
    <x v="7"/>
    <x v="152"/>
    <x v="25"/>
    <x v="120"/>
    <x v="211"/>
    <x v="98"/>
    <x v="168"/>
    <x v="0"/>
  </r>
  <r>
    <x v="0"/>
    <x v="47"/>
    <x v="47"/>
    <x v="8"/>
    <x v="8"/>
    <x v="8"/>
    <x v="7"/>
    <x v="152"/>
    <x v="25"/>
    <x v="72"/>
    <x v="180"/>
    <x v="98"/>
    <x v="168"/>
    <x v="0"/>
  </r>
  <r>
    <x v="0"/>
    <x v="48"/>
    <x v="48"/>
    <x v="13"/>
    <x v="13"/>
    <x v="13"/>
    <x v="0"/>
    <x v="147"/>
    <x v="304"/>
    <x v="78"/>
    <x v="406"/>
    <x v="95"/>
    <x v="303"/>
    <x v="0"/>
  </r>
  <r>
    <x v="0"/>
    <x v="48"/>
    <x v="48"/>
    <x v="86"/>
    <x v="86"/>
    <x v="86"/>
    <x v="1"/>
    <x v="151"/>
    <x v="305"/>
    <x v="115"/>
    <x v="407"/>
    <x v="98"/>
    <x v="168"/>
    <x v="0"/>
  </r>
  <r>
    <x v="0"/>
    <x v="48"/>
    <x v="48"/>
    <x v="139"/>
    <x v="139"/>
    <x v="139"/>
    <x v="1"/>
    <x v="151"/>
    <x v="305"/>
    <x v="120"/>
    <x v="211"/>
    <x v="53"/>
    <x v="313"/>
    <x v="0"/>
  </r>
  <r>
    <x v="0"/>
    <x v="48"/>
    <x v="48"/>
    <x v="38"/>
    <x v="38"/>
    <x v="38"/>
    <x v="1"/>
    <x v="151"/>
    <x v="305"/>
    <x v="115"/>
    <x v="407"/>
    <x v="98"/>
    <x v="168"/>
    <x v="0"/>
  </r>
  <r>
    <x v="0"/>
    <x v="48"/>
    <x v="48"/>
    <x v="33"/>
    <x v="33"/>
    <x v="33"/>
    <x v="1"/>
    <x v="151"/>
    <x v="305"/>
    <x v="72"/>
    <x v="294"/>
    <x v="95"/>
    <x v="303"/>
    <x v="0"/>
  </r>
  <r>
    <x v="0"/>
    <x v="48"/>
    <x v="48"/>
    <x v="17"/>
    <x v="17"/>
    <x v="17"/>
    <x v="5"/>
    <x v="152"/>
    <x v="177"/>
    <x v="72"/>
    <x v="294"/>
    <x v="98"/>
    <x v="168"/>
    <x v="0"/>
  </r>
  <r>
    <x v="0"/>
    <x v="48"/>
    <x v="48"/>
    <x v="49"/>
    <x v="49"/>
    <x v="49"/>
    <x v="5"/>
    <x v="152"/>
    <x v="177"/>
    <x v="72"/>
    <x v="294"/>
    <x v="98"/>
    <x v="168"/>
    <x v="0"/>
  </r>
  <r>
    <x v="0"/>
    <x v="48"/>
    <x v="48"/>
    <x v="58"/>
    <x v="58"/>
    <x v="58"/>
    <x v="5"/>
    <x v="152"/>
    <x v="177"/>
    <x v="72"/>
    <x v="294"/>
    <x v="98"/>
    <x v="168"/>
    <x v="0"/>
  </r>
  <r>
    <x v="0"/>
    <x v="48"/>
    <x v="48"/>
    <x v="14"/>
    <x v="14"/>
    <x v="14"/>
    <x v="5"/>
    <x v="152"/>
    <x v="177"/>
    <x v="72"/>
    <x v="294"/>
    <x v="98"/>
    <x v="168"/>
    <x v="0"/>
  </r>
  <r>
    <x v="0"/>
    <x v="48"/>
    <x v="48"/>
    <x v="88"/>
    <x v="88"/>
    <x v="88"/>
    <x v="5"/>
    <x v="152"/>
    <x v="177"/>
    <x v="120"/>
    <x v="211"/>
    <x v="95"/>
    <x v="303"/>
    <x v="0"/>
  </r>
  <r>
    <x v="0"/>
    <x v="48"/>
    <x v="48"/>
    <x v="50"/>
    <x v="50"/>
    <x v="50"/>
    <x v="5"/>
    <x v="152"/>
    <x v="177"/>
    <x v="120"/>
    <x v="211"/>
    <x v="95"/>
    <x v="303"/>
    <x v="0"/>
  </r>
  <r>
    <x v="0"/>
    <x v="48"/>
    <x v="48"/>
    <x v="51"/>
    <x v="51"/>
    <x v="51"/>
    <x v="5"/>
    <x v="152"/>
    <x v="177"/>
    <x v="120"/>
    <x v="211"/>
    <x v="95"/>
    <x v="303"/>
    <x v="0"/>
  </r>
  <r>
    <x v="0"/>
    <x v="48"/>
    <x v="48"/>
    <x v="140"/>
    <x v="140"/>
    <x v="140"/>
    <x v="5"/>
    <x v="152"/>
    <x v="177"/>
    <x v="72"/>
    <x v="294"/>
    <x v="98"/>
    <x v="168"/>
    <x v="0"/>
  </r>
  <r>
    <x v="0"/>
    <x v="48"/>
    <x v="48"/>
    <x v="141"/>
    <x v="141"/>
    <x v="141"/>
    <x v="5"/>
    <x v="152"/>
    <x v="177"/>
    <x v="120"/>
    <x v="211"/>
    <x v="95"/>
    <x v="303"/>
    <x v="0"/>
  </r>
  <r>
    <x v="0"/>
    <x v="48"/>
    <x v="48"/>
    <x v="68"/>
    <x v="68"/>
    <x v="68"/>
    <x v="5"/>
    <x v="152"/>
    <x v="177"/>
    <x v="72"/>
    <x v="294"/>
    <x v="98"/>
    <x v="168"/>
    <x v="0"/>
  </r>
  <r>
    <x v="0"/>
    <x v="48"/>
    <x v="48"/>
    <x v="7"/>
    <x v="7"/>
    <x v="7"/>
    <x v="5"/>
    <x v="152"/>
    <x v="177"/>
    <x v="72"/>
    <x v="294"/>
    <x v="98"/>
    <x v="168"/>
    <x v="0"/>
  </r>
  <r>
    <x v="0"/>
    <x v="48"/>
    <x v="48"/>
    <x v="10"/>
    <x v="10"/>
    <x v="10"/>
    <x v="5"/>
    <x v="152"/>
    <x v="177"/>
    <x v="72"/>
    <x v="294"/>
    <x v="98"/>
    <x v="168"/>
    <x v="0"/>
  </r>
  <r>
    <x v="0"/>
    <x v="48"/>
    <x v="48"/>
    <x v="1"/>
    <x v="1"/>
    <x v="1"/>
    <x v="5"/>
    <x v="152"/>
    <x v="177"/>
    <x v="72"/>
    <x v="294"/>
    <x v="98"/>
    <x v="168"/>
    <x v="0"/>
  </r>
  <r>
    <x v="0"/>
    <x v="48"/>
    <x v="48"/>
    <x v="15"/>
    <x v="15"/>
    <x v="15"/>
    <x v="5"/>
    <x v="152"/>
    <x v="177"/>
    <x v="120"/>
    <x v="211"/>
    <x v="95"/>
    <x v="303"/>
    <x v="0"/>
  </r>
  <r>
    <x v="0"/>
    <x v="48"/>
    <x v="48"/>
    <x v="2"/>
    <x v="2"/>
    <x v="2"/>
    <x v="5"/>
    <x v="152"/>
    <x v="177"/>
    <x v="72"/>
    <x v="294"/>
    <x v="98"/>
    <x v="168"/>
    <x v="0"/>
  </r>
  <r>
    <x v="0"/>
    <x v="48"/>
    <x v="48"/>
    <x v="0"/>
    <x v="0"/>
    <x v="0"/>
    <x v="5"/>
    <x v="152"/>
    <x v="177"/>
    <x v="72"/>
    <x v="294"/>
    <x v="98"/>
    <x v="168"/>
    <x v="0"/>
  </r>
  <r>
    <x v="0"/>
    <x v="48"/>
    <x v="48"/>
    <x v="142"/>
    <x v="142"/>
    <x v="142"/>
    <x v="5"/>
    <x v="152"/>
    <x v="177"/>
    <x v="120"/>
    <x v="211"/>
    <x v="95"/>
    <x v="303"/>
    <x v="0"/>
  </r>
  <r>
    <x v="0"/>
    <x v="48"/>
    <x v="48"/>
    <x v="117"/>
    <x v="117"/>
    <x v="117"/>
    <x v="5"/>
    <x v="152"/>
    <x v="177"/>
    <x v="120"/>
    <x v="211"/>
    <x v="95"/>
    <x v="303"/>
    <x v="0"/>
  </r>
  <r>
    <x v="0"/>
    <x v="48"/>
    <x v="48"/>
    <x v="11"/>
    <x v="11"/>
    <x v="11"/>
    <x v="5"/>
    <x v="152"/>
    <x v="177"/>
    <x v="72"/>
    <x v="294"/>
    <x v="98"/>
    <x v="168"/>
    <x v="0"/>
  </r>
  <r>
    <x v="0"/>
    <x v="48"/>
    <x v="48"/>
    <x v="118"/>
    <x v="118"/>
    <x v="118"/>
    <x v="5"/>
    <x v="152"/>
    <x v="177"/>
    <x v="72"/>
    <x v="294"/>
    <x v="98"/>
    <x v="168"/>
    <x v="0"/>
  </r>
  <r>
    <x v="0"/>
    <x v="48"/>
    <x v="48"/>
    <x v="12"/>
    <x v="12"/>
    <x v="12"/>
    <x v="5"/>
    <x v="152"/>
    <x v="177"/>
    <x v="72"/>
    <x v="294"/>
    <x v="98"/>
    <x v="168"/>
    <x v="0"/>
  </r>
  <r>
    <x v="0"/>
    <x v="49"/>
    <x v="49"/>
    <x v="0"/>
    <x v="0"/>
    <x v="0"/>
    <x v="0"/>
    <x v="83"/>
    <x v="306"/>
    <x v="95"/>
    <x v="408"/>
    <x v="98"/>
    <x v="168"/>
    <x v="0"/>
  </r>
  <r>
    <x v="0"/>
    <x v="49"/>
    <x v="49"/>
    <x v="2"/>
    <x v="2"/>
    <x v="2"/>
    <x v="1"/>
    <x v="86"/>
    <x v="307"/>
    <x v="87"/>
    <x v="409"/>
    <x v="98"/>
    <x v="168"/>
    <x v="0"/>
  </r>
  <r>
    <x v="0"/>
    <x v="49"/>
    <x v="49"/>
    <x v="4"/>
    <x v="4"/>
    <x v="4"/>
    <x v="2"/>
    <x v="137"/>
    <x v="308"/>
    <x v="113"/>
    <x v="267"/>
    <x v="95"/>
    <x v="314"/>
    <x v="0"/>
  </r>
  <r>
    <x v="0"/>
    <x v="49"/>
    <x v="49"/>
    <x v="6"/>
    <x v="6"/>
    <x v="6"/>
    <x v="3"/>
    <x v="125"/>
    <x v="248"/>
    <x v="68"/>
    <x v="256"/>
    <x v="82"/>
    <x v="315"/>
    <x v="0"/>
  </r>
  <r>
    <x v="0"/>
    <x v="49"/>
    <x v="49"/>
    <x v="9"/>
    <x v="9"/>
    <x v="9"/>
    <x v="3"/>
    <x v="125"/>
    <x v="248"/>
    <x v="88"/>
    <x v="410"/>
    <x v="95"/>
    <x v="314"/>
    <x v="0"/>
  </r>
  <r>
    <x v="0"/>
    <x v="49"/>
    <x v="49"/>
    <x v="8"/>
    <x v="8"/>
    <x v="8"/>
    <x v="5"/>
    <x v="128"/>
    <x v="50"/>
    <x v="74"/>
    <x v="1"/>
    <x v="70"/>
    <x v="316"/>
    <x v="0"/>
  </r>
  <r>
    <x v="0"/>
    <x v="49"/>
    <x v="49"/>
    <x v="3"/>
    <x v="3"/>
    <x v="3"/>
    <x v="6"/>
    <x v="129"/>
    <x v="249"/>
    <x v="78"/>
    <x v="225"/>
    <x v="80"/>
    <x v="317"/>
    <x v="0"/>
  </r>
  <r>
    <x v="0"/>
    <x v="49"/>
    <x v="49"/>
    <x v="7"/>
    <x v="7"/>
    <x v="7"/>
    <x v="7"/>
    <x v="130"/>
    <x v="309"/>
    <x v="78"/>
    <x v="225"/>
    <x v="94"/>
    <x v="305"/>
    <x v="0"/>
  </r>
  <r>
    <x v="0"/>
    <x v="49"/>
    <x v="49"/>
    <x v="5"/>
    <x v="5"/>
    <x v="5"/>
    <x v="7"/>
    <x v="130"/>
    <x v="309"/>
    <x v="67"/>
    <x v="411"/>
    <x v="53"/>
    <x v="32"/>
    <x v="0"/>
  </r>
  <r>
    <x v="0"/>
    <x v="49"/>
    <x v="49"/>
    <x v="51"/>
    <x v="51"/>
    <x v="51"/>
    <x v="9"/>
    <x v="153"/>
    <x v="8"/>
    <x v="120"/>
    <x v="211"/>
    <x v="77"/>
    <x v="304"/>
    <x v="0"/>
  </r>
  <r>
    <x v="0"/>
    <x v="49"/>
    <x v="49"/>
    <x v="12"/>
    <x v="12"/>
    <x v="12"/>
    <x v="9"/>
    <x v="153"/>
    <x v="8"/>
    <x v="67"/>
    <x v="411"/>
    <x v="95"/>
    <x v="314"/>
    <x v="0"/>
  </r>
  <r>
    <x v="0"/>
    <x v="49"/>
    <x v="49"/>
    <x v="13"/>
    <x v="13"/>
    <x v="13"/>
    <x v="11"/>
    <x v="146"/>
    <x v="41"/>
    <x v="78"/>
    <x v="225"/>
    <x v="53"/>
    <x v="32"/>
    <x v="0"/>
  </r>
  <r>
    <x v="0"/>
    <x v="49"/>
    <x v="49"/>
    <x v="14"/>
    <x v="14"/>
    <x v="14"/>
    <x v="11"/>
    <x v="146"/>
    <x v="41"/>
    <x v="55"/>
    <x v="412"/>
    <x v="70"/>
    <x v="316"/>
    <x v="0"/>
  </r>
  <r>
    <x v="0"/>
    <x v="49"/>
    <x v="49"/>
    <x v="16"/>
    <x v="16"/>
    <x v="16"/>
    <x v="11"/>
    <x v="146"/>
    <x v="41"/>
    <x v="80"/>
    <x v="413"/>
    <x v="94"/>
    <x v="305"/>
    <x v="0"/>
  </r>
  <r>
    <x v="0"/>
    <x v="49"/>
    <x v="49"/>
    <x v="33"/>
    <x v="33"/>
    <x v="33"/>
    <x v="11"/>
    <x v="146"/>
    <x v="41"/>
    <x v="72"/>
    <x v="65"/>
    <x v="82"/>
    <x v="315"/>
    <x v="0"/>
  </r>
  <r>
    <x v="0"/>
    <x v="49"/>
    <x v="49"/>
    <x v="10"/>
    <x v="10"/>
    <x v="10"/>
    <x v="11"/>
    <x v="146"/>
    <x v="41"/>
    <x v="78"/>
    <x v="225"/>
    <x v="53"/>
    <x v="32"/>
    <x v="0"/>
  </r>
  <r>
    <x v="0"/>
    <x v="49"/>
    <x v="49"/>
    <x v="57"/>
    <x v="57"/>
    <x v="57"/>
    <x v="15"/>
    <x v="148"/>
    <x v="107"/>
    <x v="80"/>
    <x v="413"/>
    <x v="53"/>
    <x v="32"/>
    <x v="0"/>
  </r>
  <r>
    <x v="0"/>
    <x v="49"/>
    <x v="49"/>
    <x v="71"/>
    <x v="71"/>
    <x v="71"/>
    <x v="15"/>
    <x v="148"/>
    <x v="107"/>
    <x v="80"/>
    <x v="413"/>
    <x v="53"/>
    <x v="32"/>
    <x v="0"/>
  </r>
  <r>
    <x v="0"/>
    <x v="49"/>
    <x v="49"/>
    <x v="99"/>
    <x v="99"/>
    <x v="99"/>
    <x v="15"/>
    <x v="148"/>
    <x v="107"/>
    <x v="115"/>
    <x v="113"/>
    <x v="70"/>
    <x v="316"/>
    <x v="0"/>
  </r>
  <r>
    <x v="0"/>
    <x v="49"/>
    <x v="49"/>
    <x v="15"/>
    <x v="15"/>
    <x v="15"/>
    <x v="15"/>
    <x v="148"/>
    <x v="107"/>
    <x v="72"/>
    <x v="65"/>
    <x v="94"/>
    <x v="305"/>
    <x v="0"/>
  </r>
  <r>
    <x v="0"/>
    <x v="49"/>
    <x v="49"/>
    <x v="25"/>
    <x v="25"/>
    <x v="25"/>
    <x v="15"/>
    <x v="148"/>
    <x v="107"/>
    <x v="78"/>
    <x v="225"/>
    <x v="98"/>
    <x v="168"/>
    <x v="0"/>
  </r>
  <r>
    <x v="0"/>
    <x v="50"/>
    <x v="50"/>
    <x v="0"/>
    <x v="0"/>
    <x v="0"/>
    <x v="0"/>
    <x v="122"/>
    <x v="209"/>
    <x v="113"/>
    <x v="414"/>
    <x v="98"/>
    <x v="168"/>
    <x v="0"/>
  </r>
  <r>
    <x v="0"/>
    <x v="50"/>
    <x v="50"/>
    <x v="3"/>
    <x v="3"/>
    <x v="3"/>
    <x v="1"/>
    <x v="129"/>
    <x v="210"/>
    <x v="72"/>
    <x v="415"/>
    <x v="78"/>
    <x v="318"/>
    <x v="0"/>
  </r>
  <r>
    <x v="0"/>
    <x v="50"/>
    <x v="50"/>
    <x v="2"/>
    <x v="2"/>
    <x v="2"/>
    <x v="2"/>
    <x v="130"/>
    <x v="310"/>
    <x v="86"/>
    <x v="416"/>
    <x v="98"/>
    <x v="168"/>
    <x v="0"/>
  </r>
  <r>
    <x v="0"/>
    <x v="50"/>
    <x v="50"/>
    <x v="6"/>
    <x v="6"/>
    <x v="6"/>
    <x v="3"/>
    <x v="153"/>
    <x v="211"/>
    <x v="78"/>
    <x v="25"/>
    <x v="70"/>
    <x v="1"/>
    <x v="0"/>
  </r>
  <r>
    <x v="0"/>
    <x v="50"/>
    <x v="50"/>
    <x v="7"/>
    <x v="7"/>
    <x v="7"/>
    <x v="4"/>
    <x v="146"/>
    <x v="192"/>
    <x v="55"/>
    <x v="417"/>
    <x v="70"/>
    <x v="1"/>
    <x v="0"/>
  </r>
  <r>
    <x v="0"/>
    <x v="50"/>
    <x v="50"/>
    <x v="70"/>
    <x v="70"/>
    <x v="70"/>
    <x v="5"/>
    <x v="147"/>
    <x v="212"/>
    <x v="68"/>
    <x v="418"/>
    <x v="98"/>
    <x v="168"/>
    <x v="0"/>
  </r>
  <r>
    <x v="0"/>
    <x v="50"/>
    <x v="50"/>
    <x v="117"/>
    <x v="117"/>
    <x v="117"/>
    <x v="5"/>
    <x v="147"/>
    <x v="212"/>
    <x v="120"/>
    <x v="211"/>
    <x v="95"/>
    <x v="30"/>
    <x v="0"/>
  </r>
  <r>
    <x v="0"/>
    <x v="50"/>
    <x v="50"/>
    <x v="14"/>
    <x v="14"/>
    <x v="14"/>
    <x v="7"/>
    <x v="148"/>
    <x v="126"/>
    <x v="115"/>
    <x v="419"/>
    <x v="70"/>
    <x v="1"/>
    <x v="0"/>
  </r>
  <r>
    <x v="0"/>
    <x v="50"/>
    <x v="50"/>
    <x v="31"/>
    <x v="31"/>
    <x v="31"/>
    <x v="7"/>
    <x v="148"/>
    <x v="126"/>
    <x v="55"/>
    <x v="417"/>
    <x v="98"/>
    <x v="168"/>
    <x v="3"/>
  </r>
  <r>
    <x v="0"/>
    <x v="50"/>
    <x v="50"/>
    <x v="9"/>
    <x v="9"/>
    <x v="9"/>
    <x v="7"/>
    <x v="148"/>
    <x v="126"/>
    <x v="78"/>
    <x v="25"/>
    <x v="98"/>
    <x v="168"/>
    <x v="0"/>
  </r>
  <r>
    <x v="0"/>
    <x v="50"/>
    <x v="50"/>
    <x v="12"/>
    <x v="12"/>
    <x v="12"/>
    <x v="7"/>
    <x v="148"/>
    <x v="126"/>
    <x v="80"/>
    <x v="420"/>
    <x v="53"/>
    <x v="319"/>
    <x v="0"/>
  </r>
  <r>
    <x v="0"/>
    <x v="50"/>
    <x v="50"/>
    <x v="49"/>
    <x v="49"/>
    <x v="49"/>
    <x v="11"/>
    <x v="149"/>
    <x v="25"/>
    <x v="80"/>
    <x v="420"/>
    <x v="95"/>
    <x v="30"/>
    <x v="0"/>
  </r>
  <r>
    <x v="0"/>
    <x v="50"/>
    <x v="50"/>
    <x v="38"/>
    <x v="38"/>
    <x v="38"/>
    <x v="11"/>
    <x v="149"/>
    <x v="25"/>
    <x v="55"/>
    <x v="417"/>
    <x v="98"/>
    <x v="168"/>
    <x v="0"/>
  </r>
  <r>
    <x v="0"/>
    <x v="50"/>
    <x v="50"/>
    <x v="33"/>
    <x v="33"/>
    <x v="33"/>
    <x v="11"/>
    <x v="149"/>
    <x v="25"/>
    <x v="120"/>
    <x v="211"/>
    <x v="94"/>
    <x v="320"/>
    <x v="0"/>
  </r>
  <r>
    <x v="0"/>
    <x v="50"/>
    <x v="50"/>
    <x v="10"/>
    <x v="10"/>
    <x v="10"/>
    <x v="11"/>
    <x v="149"/>
    <x v="25"/>
    <x v="115"/>
    <x v="419"/>
    <x v="53"/>
    <x v="319"/>
    <x v="0"/>
  </r>
  <r>
    <x v="0"/>
    <x v="50"/>
    <x v="50"/>
    <x v="46"/>
    <x v="46"/>
    <x v="46"/>
    <x v="11"/>
    <x v="149"/>
    <x v="25"/>
    <x v="80"/>
    <x v="420"/>
    <x v="95"/>
    <x v="30"/>
    <x v="0"/>
  </r>
  <r>
    <x v="0"/>
    <x v="50"/>
    <x v="50"/>
    <x v="5"/>
    <x v="5"/>
    <x v="5"/>
    <x v="11"/>
    <x v="149"/>
    <x v="25"/>
    <x v="55"/>
    <x v="417"/>
    <x v="98"/>
    <x v="168"/>
    <x v="0"/>
  </r>
  <r>
    <x v="0"/>
    <x v="50"/>
    <x v="50"/>
    <x v="52"/>
    <x v="52"/>
    <x v="52"/>
    <x v="11"/>
    <x v="149"/>
    <x v="25"/>
    <x v="115"/>
    <x v="419"/>
    <x v="53"/>
    <x v="319"/>
    <x v="0"/>
  </r>
  <r>
    <x v="0"/>
    <x v="50"/>
    <x v="50"/>
    <x v="13"/>
    <x v="13"/>
    <x v="13"/>
    <x v="17"/>
    <x v="150"/>
    <x v="31"/>
    <x v="80"/>
    <x v="420"/>
    <x v="98"/>
    <x v="168"/>
    <x v="0"/>
  </r>
  <r>
    <x v="0"/>
    <x v="50"/>
    <x v="50"/>
    <x v="86"/>
    <x v="86"/>
    <x v="86"/>
    <x v="17"/>
    <x v="150"/>
    <x v="31"/>
    <x v="80"/>
    <x v="420"/>
    <x v="98"/>
    <x v="168"/>
    <x v="0"/>
  </r>
  <r>
    <x v="0"/>
    <x v="50"/>
    <x v="50"/>
    <x v="27"/>
    <x v="27"/>
    <x v="27"/>
    <x v="17"/>
    <x v="150"/>
    <x v="31"/>
    <x v="120"/>
    <x v="211"/>
    <x v="70"/>
    <x v="1"/>
    <x v="0"/>
  </r>
  <r>
    <x v="0"/>
    <x v="50"/>
    <x v="50"/>
    <x v="67"/>
    <x v="67"/>
    <x v="67"/>
    <x v="17"/>
    <x v="150"/>
    <x v="31"/>
    <x v="115"/>
    <x v="419"/>
    <x v="95"/>
    <x v="30"/>
    <x v="0"/>
  </r>
  <r>
    <x v="0"/>
    <x v="50"/>
    <x v="50"/>
    <x v="32"/>
    <x v="32"/>
    <x v="32"/>
    <x v="17"/>
    <x v="150"/>
    <x v="31"/>
    <x v="80"/>
    <x v="420"/>
    <x v="98"/>
    <x v="168"/>
    <x v="0"/>
  </r>
  <r>
    <x v="0"/>
    <x v="50"/>
    <x v="50"/>
    <x v="71"/>
    <x v="71"/>
    <x v="71"/>
    <x v="17"/>
    <x v="150"/>
    <x v="31"/>
    <x v="80"/>
    <x v="420"/>
    <x v="98"/>
    <x v="168"/>
    <x v="0"/>
  </r>
  <r>
    <x v="0"/>
    <x v="50"/>
    <x v="50"/>
    <x v="16"/>
    <x v="16"/>
    <x v="16"/>
    <x v="17"/>
    <x v="150"/>
    <x v="31"/>
    <x v="72"/>
    <x v="415"/>
    <x v="53"/>
    <x v="319"/>
    <x v="0"/>
  </r>
  <r>
    <x v="0"/>
    <x v="50"/>
    <x v="50"/>
    <x v="72"/>
    <x v="72"/>
    <x v="72"/>
    <x v="17"/>
    <x v="150"/>
    <x v="31"/>
    <x v="115"/>
    <x v="419"/>
    <x v="95"/>
    <x v="30"/>
    <x v="0"/>
  </r>
  <r>
    <x v="0"/>
    <x v="50"/>
    <x v="50"/>
    <x v="34"/>
    <x v="34"/>
    <x v="34"/>
    <x v="17"/>
    <x v="150"/>
    <x v="31"/>
    <x v="80"/>
    <x v="420"/>
    <x v="98"/>
    <x v="168"/>
    <x v="0"/>
  </r>
  <r>
    <x v="0"/>
    <x v="50"/>
    <x v="50"/>
    <x v="41"/>
    <x v="41"/>
    <x v="41"/>
    <x v="17"/>
    <x v="150"/>
    <x v="31"/>
    <x v="120"/>
    <x v="211"/>
    <x v="7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B88C06-A2F4-49F2-9616-074AAC99269B}" name="pvt_L" cacheId="2254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817" firstHeaderRow="0" firstDataRow="1" firstDataCol="1"/>
  <pivotFields count="11"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763">
      <pivotArea field="2" type="button" dataOnly="0" labelOnly="1" outline="0" axis="axisRow" fieldPosition="0"/>
    </format>
    <format dxfId="762">
      <pivotArea outline="0" fieldPosition="0">
        <references count="1">
          <reference field="4294967294" count="1">
            <x v="0"/>
          </reference>
        </references>
      </pivotArea>
    </format>
    <format dxfId="761">
      <pivotArea outline="0" fieldPosition="0">
        <references count="1">
          <reference field="4294967294" count="1">
            <x v="1"/>
          </reference>
        </references>
      </pivotArea>
    </format>
    <format dxfId="760">
      <pivotArea outline="0" fieldPosition="0">
        <references count="1">
          <reference field="4294967294" count="1">
            <x v="2"/>
          </reference>
        </references>
      </pivotArea>
    </format>
    <format dxfId="759">
      <pivotArea outline="0" fieldPosition="0">
        <references count="1">
          <reference field="4294967294" count="1">
            <x v="3"/>
          </reference>
        </references>
      </pivotArea>
    </format>
    <format dxfId="758">
      <pivotArea outline="0" fieldPosition="0">
        <references count="1">
          <reference field="4294967294" count="1">
            <x v="4"/>
          </reference>
        </references>
      </pivotArea>
    </format>
    <format dxfId="757">
      <pivotArea outline="0" fieldPosition="0">
        <references count="1">
          <reference field="4294967294" count="1">
            <x v="5"/>
          </reference>
        </references>
      </pivotArea>
    </format>
    <format dxfId="756">
      <pivotArea outline="0" fieldPosition="0">
        <references count="1">
          <reference field="4294967294" count="1">
            <x v="6"/>
          </reference>
        </references>
      </pivotArea>
    </format>
    <format dxfId="755">
      <pivotArea field="2" type="button" dataOnly="0" labelOnly="1" outline="0" axis="axisRow" fieldPosition="0"/>
    </format>
    <format dxfId="7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3">
      <pivotArea field="2" type="button" dataOnly="0" labelOnly="1" outline="0" axis="axisRow" fieldPosition="0"/>
    </format>
    <format dxfId="7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1">
      <pivotArea field="2" type="button" dataOnly="0" labelOnly="1" outline="0" axis="axisRow" fieldPosition="0"/>
    </format>
    <format dxfId="7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88E95-A760-4CE3-A282-D61E5CBD040D}" name="pvt_M" cacheId="225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22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51">
        <item x="30"/>
        <item x="29"/>
        <item x="28"/>
        <item x="31"/>
        <item x="32"/>
        <item x="27"/>
        <item x="17"/>
        <item x="39"/>
        <item x="40"/>
        <item x="16"/>
        <item x="14"/>
        <item x="20"/>
        <item x="26"/>
        <item x="25"/>
        <item x="13"/>
        <item x="49"/>
        <item x="48"/>
        <item x="41"/>
        <item x="46"/>
        <item x="47"/>
        <item x="44"/>
        <item x="45"/>
        <item x="42"/>
        <item x="43"/>
        <item x="21"/>
        <item x="23"/>
        <item x="22"/>
        <item x="24"/>
        <item x="11"/>
        <item x="0"/>
        <item x="1"/>
        <item x="4"/>
        <item x="2"/>
        <item x="3"/>
        <item x="5"/>
        <item x="6"/>
        <item x="9"/>
        <item x="19"/>
        <item x="12"/>
        <item x="35"/>
        <item x="34"/>
        <item x="33"/>
        <item x="36"/>
        <item x="37"/>
        <item x="15"/>
        <item x="8"/>
        <item x="10"/>
        <item x="50"/>
        <item x="18"/>
        <item x="38"/>
        <item x="7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59">
        <item x="3"/>
        <item x="6"/>
        <item x="8"/>
        <item x="18"/>
        <item x="34"/>
        <item x="31"/>
        <item x="35"/>
        <item x="37"/>
        <item x="47"/>
        <item x="41"/>
        <item x="54"/>
        <item x="36"/>
        <item x="28"/>
        <item x="45"/>
        <item x="56"/>
        <item x="30"/>
        <item x="51"/>
        <item x="38"/>
        <item x="39"/>
        <item x="48"/>
        <item x="42"/>
        <item x="57"/>
        <item x="50"/>
        <item x="53"/>
        <item x="40"/>
        <item x="29"/>
        <item x="55"/>
        <item x="49"/>
        <item x="19"/>
        <item x="25"/>
        <item x="17"/>
        <item x="20"/>
        <item x="12"/>
        <item x="5"/>
        <item x="7"/>
        <item x="2"/>
        <item x="24"/>
        <item x="23"/>
        <item x="15"/>
        <item x="4"/>
        <item x="43"/>
        <item x="58"/>
        <item x="10"/>
        <item x="13"/>
        <item x="32"/>
        <item x="1"/>
        <item x="27"/>
        <item x="0"/>
        <item x="22"/>
        <item x="26"/>
        <item x="9"/>
        <item x="11"/>
        <item x="16"/>
        <item x="44"/>
        <item x="14"/>
        <item x="52"/>
        <item x="46"/>
        <item x="21"/>
        <item x="33"/>
      </items>
    </pivotField>
    <pivotField showAll="0" defaultSubtotal="0">
      <items count="59">
        <item x="57"/>
        <item x="33"/>
        <item x="20"/>
        <item x="9"/>
        <item x="21"/>
        <item x="2"/>
        <item x="22"/>
        <item x="51"/>
        <item x="11"/>
        <item x="47"/>
        <item x="1"/>
        <item x="19"/>
        <item x="5"/>
        <item x="34"/>
        <item x="49"/>
        <item x="50"/>
        <item x="41"/>
        <item x="37"/>
        <item x="58"/>
        <item x="17"/>
        <item x="7"/>
        <item x="52"/>
        <item x="13"/>
        <item x="28"/>
        <item x="25"/>
        <item x="26"/>
        <item x="27"/>
        <item x="14"/>
        <item x="16"/>
        <item x="32"/>
        <item x="42"/>
        <item x="56"/>
        <item x="12"/>
        <item x="46"/>
        <item x="6"/>
        <item x="18"/>
        <item x="29"/>
        <item x="39"/>
        <item x="45"/>
        <item x="54"/>
        <item x="8"/>
        <item x="10"/>
        <item x="0"/>
        <item x="31"/>
        <item x="55"/>
        <item x="3"/>
        <item x="38"/>
        <item x="40"/>
        <item x="53"/>
        <item x="44"/>
        <item x="15"/>
        <item x="4"/>
        <item x="43"/>
        <item x="23"/>
        <item x="48"/>
        <item x="24"/>
        <item x="35"/>
        <item x="30"/>
        <item x="36"/>
      </items>
    </pivotField>
    <pivotField axis="axisRow" showAll="0" defaultSubtotal="0">
      <items count="59">
        <item x="3"/>
        <item x="6"/>
        <item x="8"/>
        <item x="18"/>
        <item x="34"/>
        <item x="31"/>
        <item x="35"/>
        <item x="37"/>
        <item x="47"/>
        <item x="41"/>
        <item x="54"/>
        <item x="36"/>
        <item x="28"/>
        <item x="45"/>
        <item x="56"/>
        <item x="30"/>
        <item x="51"/>
        <item x="38"/>
        <item x="39"/>
        <item x="48"/>
        <item x="42"/>
        <item x="57"/>
        <item x="50"/>
        <item x="53"/>
        <item x="40"/>
        <item x="29"/>
        <item x="55"/>
        <item x="49"/>
        <item x="19"/>
        <item x="25"/>
        <item x="17"/>
        <item x="20"/>
        <item x="12"/>
        <item x="5"/>
        <item x="7"/>
        <item x="2"/>
        <item x="24"/>
        <item x="23"/>
        <item x="15"/>
        <item x="4"/>
        <item x="43"/>
        <item x="58"/>
        <item x="10"/>
        <item x="13"/>
        <item x="32"/>
        <item x="1"/>
        <item x="27"/>
        <item x="0"/>
        <item x="22"/>
        <item x="26"/>
        <item x="9"/>
        <item x="11"/>
        <item x="16"/>
        <item x="44"/>
        <item x="14"/>
        <item x="52"/>
        <item x="46"/>
        <item x="21"/>
        <item x="3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3">
        <item x="191"/>
        <item x="190"/>
        <item x="189"/>
        <item x="188"/>
        <item x="187"/>
        <item x="186"/>
        <item x="185"/>
        <item x="184"/>
        <item x="156"/>
        <item x="155"/>
        <item x="154"/>
        <item x="183"/>
        <item x="150"/>
        <item x="141"/>
        <item x="140"/>
        <item x="153"/>
        <item x="139"/>
        <item x="138"/>
        <item x="149"/>
        <item x="148"/>
        <item x="137"/>
        <item x="147"/>
        <item x="192"/>
        <item x="152"/>
        <item x="158"/>
        <item x="93"/>
        <item x="164"/>
        <item x="146"/>
        <item x="145"/>
        <item x="157"/>
        <item x="92"/>
        <item x="91"/>
        <item x="119"/>
        <item x="136"/>
        <item x="106"/>
        <item x="118"/>
        <item x="90"/>
        <item x="89"/>
        <item x="163"/>
        <item x="88"/>
        <item x="162"/>
        <item x="131"/>
        <item x="135"/>
        <item x="130"/>
        <item x="87"/>
        <item x="117"/>
        <item x="134"/>
        <item x="86"/>
        <item x="85"/>
        <item x="105"/>
        <item x="84"/>
        <item x="83"/>
        <item x="116"/>
        <item x="76"/>
        <item x="104"/>
        <item x="75"/>
        <item x="161"/>
        <item x="74"/>
        <item x="82"/>
        <item x="168"/>
        <item x="144"/>
        <item x="103"/>
        <item x="102"/>
        <item x="133"/>
        <item x="129"/>
        <item x="182"/>
        <item x="128"/>
        <item x="166"/>
        <item x="57"/>
        <item x="143"/>
        <item x="56"/>
        <item x="73"/>
        <item x="127"/>
        <item x="181"/>
        <item x="101"/>
        <item x="132"/>
        <item x="81"/>
        <item x="171"/>
        <item x="115"/>
        <item x="100"/>
        <item x="55"/>
        <item x="54"/>
        <item x="53"/>
        <item x="151"/>
        <item x="167"/>
        <item x="114"/>
        <item x="72"/>
        <item x="173"/>
        <item x="113"/>
        <item x="52"/>
        <item x="99"/>
        <item x="51"/>
        <item x="80"/>
        <item x="170"/>
        <item x="126"/>
        <item x="112"/>
        <item x="169"/>
        <item x="180"/>
        <item x="111"/>
        <item x="79"/>
        <item x="165"/>
        <item x="71"/>
        <item x="179"/>
        <item x="110"/>
        <item x="50"/>
        <item x="70"/>
        <item x="98"/>
        <item x="78"/>
        <item x="125"/>
        <item x="69"/>
        <item x="68"/>
        <item x="172"/>
        <item x="142"/>
        <item x="67"/>
        <item x="97"/>
        <item x="66"/>
        <item x="160"/>
        <item x="77"/>
        <item x="178"/>
        <item x="65"/>
        <item x="96"/>
        <item x="49"/>
        <item x="64"/>
        <item x="124"/>
        <item x="159"/>
        <item x="109"/>
        <item x="95"/>
        <item x="48"/>
        <item x="63"/>
        <item x="62"/>
        <item x="47"/>
        <item x="46"/>
        <item x="45"/>
        <item x="123"/>
        <item x="108"/>
        <item x="44"/>
        <item x="39"/>
        <item x="122"/>
        <item x="61"/>
        <item x="38"/>
        <item x="37"/>
        <item x="177"/>
        <item x="94"/>
        <item x="107"/>
        <item x="176"/>
        <item x="121"/>
        <item x="175"/>
        <item x="36"/>
        <item x="60"/>
        <item x="43"/>
        <item x="174"/>
        <item x="35"/>
        <item x="59"/>
        <item x="120"/>
        <item x="42"/>
        <item x="58"/>
        <item x="41"/>
        <item x="34"/>
        <item x="33"/>
        <item x="32"/>
        <item x="31"/>
        <item x="30"/>
        <item x="19"/>
        <item x="18"/>
        <item x="17"/>
        <item x="29"/>
        <item x="28"/>
        <item x="27"/>
        <item x="26"/>
        <item x="16"/>
        <item x="15"/>
        <item x="25"/>
        <item x="14"/>
        <item x="24"/>
        <item x="13"/>
        <item x="23"/>
        <item x="40"/>
        <item x="12"/>
        <item x="11"/>
        <item x="10"/>
        <item x="9"/>
        <item x="8"/>
        <item x="7"/>
        <item x="22"/>
        <item x="6"/>
        <item x="21"/>
        <item x="20"/>
        <item x="5"/>
        <item x="4"/>
        <item x="3"/>
        <item x="2"/>
        <item x="1"/>
        <item x="0"/>
      </items>
    </pivotField>
    <pivotField dataField="1" showAll="0" defaultSubtotal="0">
      <items count="459">
        <item x="334"/>
        <item x="433"/>
        <item x="283"/>
        <item x="343"/>
        <item x="290"/>
        <item x="403"/>
        <item x="362"/>
        <item x="190"/>
        <item x="58"/>
        <item x="312"/>
        <item x="214"/>
        <item x="57"/>
        <item x="152"/>
        <item x="402"/>
        <item x="137"/>
        <item x="390"/>
        <item x="199"/>
        <item x="19"/>
        <item x="39"/>
        <item x="18"/>
        <item x="136"/>
        <item x="276"/>
        <item x="178"/>
        <item x="17"/>
        <item x="124"/>
        <item x="213"/>
        <item x="38"/>
        <item x="56"/>
        <item x="75"/>
        <item x="37"/>
        <item x="55"/>
        <item x="275"/>
        <item x="389"/>
        <item x="151"/>
        <item x="212"/>
        <item x="74"/>
        <item x="166"/>
        <item x="373"/>
        <item x="416"/>
        <item x="135"/>
        <item x="54"/>
        <item x="150"/>
        <item x="211"/>
        <item x="53"/>
        <item x="134"/>
        <item x="232"/>
        <item x="342"/>
        <item x="36"/>
        <item x="361"/>
        <item x="320"/>
        <item x="189"/>
        <item x="16"/>
        <item x="91"/>
        <item x="223"/>
        <item x="263"/>
        <item x="244"/>
        <item x="231"/>
        <item x="15"/>
        <item x="262"/>
        <item x="177"/>
        <item x="261"/>
        <item x="274"/>
        <item x="109"/>
        <item x="149"/>
        <item x="165"/>
        <item x="252"/>
        <item x="14"/>
        <item x="445"/>
        <item x="188"/>
        <item x="176"/>
        <item x="123"/>
        <item x="164"/>
        <item x="210"/>
        <item x="73"/>
        <item x="35"/>
        <item x="52"/>
        <item x="72"/>
        <item x="90"/>
        <item x="122"/>
        <item x="108"/>
        <item x="121"/>
        <item x="328"/>
        <item x="89"/>
        <item x="222"/>
        <item x="260"/>
        <item x="133"/>
        <item x="415"/>
        <item x="163"/>
        <item x="175"/>
        <item x="107"/>
        <item x="132"/>
        <item x="120"/>
        <item x="106"/>
        <item x="251"/>
        <item x="273"/>
        <item x="198"/>
        <item x="148"/>
        <item x="243"/>
        <item x="430"/>
        <item x="319"/>
        <item x="209"/>
        <item x="230"/>
        <item x="162"/>
        <item x="88"/>
        <item x="303"/>
        <item x="13"/>
        <item x="208"/>
        <item x="409"/>
        <item x="105"/>
        <item x="71"/>
        <item x="87"/>
        <item x="119"/>
        <item x="272"/>
        <item x="458"/>
        <item x="250"/>
        <item x="380"/>
        <item x="297"/>
        <item x="419"/>
        <item x="259"/>
        <item x="187"/>
        <item x="354"/>
        <item x="86"/>
        <item x="258"/>
        <item x="221"/>
        <item x="422"/>
        <item x="104"/>
        <item x="12"/>
        <item x="197"/>
        <item x="282"/>
        <item x="429"/>
        <item x="229"/>
        <item x="367"/>
        <item x="360"/>
        <item x="302"/>
        <item x="103"/>
        <item x="249"/>
        <item x="34"/>
        <item x="271"/>
        <item x="242"/>
        <item x="51"/>
        <item x="147"/>
        <item x="207"/>
        <item x="85"/>
        <item x="388"/>
        <item x="33"/>
        <item x="206"/>
        <item x="32"/>
        <item x="11"/>
        <item x="50"/>
        <item x="31"/>
        <item x="428"/>
        <item x="10"/>
        <item x="70"/>
        <item x="84"/>
        <item x="49"/>
        <item x="220"/>
        <item x="9"/>
        <item x="196"/>
        <item x="83"/>
        <item x="48"/>
        <item x="30"/>
        <item x="439"/>
        <item x="118"/>
        <item x="379"/>
        <item x="341"/>
        <item x="47"/>
        <item x="174"/>
        <item x="102"/>
        <item x="82"/>
        <item x="8"/>
        <item x="146"/>
        <item x="131"/>
        <item x="46"/>
        <item x="414"/>
        <item x="296"/>
        <item x="29"/>
        <item x="427"/>
        <item x="161"/>
        <item x="28"/>
        <item x="27"/>
        <item x="186"/>
        <item x="145"/>
        <item x="130"/>
        <item x="69"/>
        <item x="101"/>
        <item x="173"/>
        <item x="160"/>
        <item x="241"/>
        <item x="378"/>
        <item x="117"/>
        <item x="7"/>
        <item x="68"/>
        <item x="144"/>
        <item x="159"/>
        <item x="387"/>
        <item x="100"/>
        <item x="270"/>
        <item x="143"/>
        <item x="401"/>
        <item x="26"/>
        <item x="295"/>
        <item x="248"/>
        <item x="386"/>
        <item x="81"/>
        <item x="6"/>
        <item x="240"/>
        <item x="185"/>
        <item x="67"/>
        <item x="116"/>
        <item x="311"/>
        <item x="400"/>
        <item x="66"/>
        <item x="99"/>
        <item x="239"/>
        <item x="257"/>
        <item x="98"/>
        <item x="327"/>
        <item x="115"/>
        <item x="408"/>
        <item x="426"/>
        <item x="385"/>
        <item x="326"/>
        <item x="399"/>
        <item x="269"/>
        <item x="318"/>
        <item x="348"/>
        <item x="172"/>
        <item x="359"/>
        <item x="301"/>
        <item x="205"/>
        <item x="238"/>
        <item x="65"/>
        <item x="142"/>
        <item x="219"/>
        <item x="25"/>
        <item x="195"/>
        <item x="114"/>
        <item x="64"/>
        <item x="444"/>
        <item x="421"/>
        <item x="300"/>
        <item x="438"/>
        <item x="113"/>
        <item x="45"/>
        <item x="63"/>
        <item x="289"/>
        <item x="62"/>
        <item x="158"/>
        <item x="294"/>
        <item x="418"/>
        <item x="97"/>
        <item x="184"/>
        <item x="325"/>
        <item x="310"/>
        <item x="340"/>
        <item x="96"/>
        <item x="268"/>
        <item x="372"/>
        <item x="384"/>
        <item x="228"/>
        <item x="80"/>
        <item x="457"/>
        <item x="413"/>
        <item x="129"/>
        <item x="371"/>
        <item x="353"/>
        <item x="451"/>
        <item x="5"/>
        <item x="44"/>
        <item x="267"/>
        <item x="317"/>
        <item x="324"/>
        <item x="183"/>
        <item x="299"/>
        <item x="339"/>
        <item x="24"/>
        <item x="358"/>
        <item x="141"/>
        <item x="157"/>
        <item x="323"/>
        <item x="266"/>
        <item x="256"/>
        <item x="23"/>
        <item x="79"/>
        <item x="281"/>
        <item x="4"/>
        <item x="128"/>
        <item x="218"/>
        <item x="95"/>
        <item x="437"/>
        <item x="412"/>
        <item x="316"/>
        <item x="347"/>
        <item x="171"/>
        <item x="455"/>
        <item x="443"/>
        <item x="407"/>
        <item x="315"/>
        <item x="265"/>
        <item x="78"/>
        <item x="280"/>
        <item x="333"/>
        <item x="127"/>
        <item x="293"/>
        <item x="309"/>
        <item x="3"/>
        <item x="204"/>
        <item x="43"/>
        <item x="156"/>
        <item x="322"/>
        <item x="456"/>
        <item x="203"/>
        <item x="398"/>
        <item x="370"/>
        <item x="170"/>
        <item x="279"/>
        <item x="140"/>
        <item x="308"/>
        <item x="298"/>
        <item x="366"/>
        <item x="94"/>
        <item x="406"/>
        <item x="2"/>
        <item x="454"/>
        <item x="227"/>
        <item x="155"/>
        <item x="338"/>
        <item x="442"/>
        <item x="377"/>
        <item x="77"/>
        <item x="307"/>
        <item x="321"/>
        <item x="93"/>
        <item x="411"/>
        <item x="194"/>
        <item x="112"/>
        <item x="182"/>
        <item x="61"/>
        <item x="237"/>
        <item x="383"/>
        <item x="217"/>
        <item x="288"/>
        <item x="236"/>
        <item x="126"/>
        <item x="436"/>
        <item x="235"/>
        <item x="226"/>
        <item x="365"/>
        <item x="337"/>
        <item x="154"/>
        <item x="234"/>
        <item x="376"/>
        <item x="420"/>
        <item x="193"/>
        <item x="216"/>
        <item x="60"/>
        <item x="336"/>
        <item x="450"/>
        <item x="332"/>
        <item x="346"/>
        <item x="405"/>
        <item x="352"/>
        <item x="306"/>
        <item x="382"/>
        <item x="111"/>
        <item x="369"/>
        <item x="292"/>
        <item x="255"/>
        <item x="417"/>
        <item x="364"/>
        <item x="397"/>
        <item x="42"/>
        <item x="181"/>
        <item x="331"/>
        <item x="351"/>
        <item x="357"/>
        <item x="22"/>
        <item x="254"/>
        <item x="441"/>
        <item x="202"/>
        <item x="314"/>
        <item x="180"/>
        <item x="396"/>
        <item x="425"/>
        <item x="305"/>
        <item x="393"/>
        <item x="247"/>
        <item x="246"/>
        <item x="21"/>
        <item x="1"/>
        <item x="20"/>
        <item x="313"/>
        <item x="287"/>
        <item x="59"/>
        <item x="92"/>
        <item x="169"/>
        <item x="392"/>
        <item x="432"/>
        <item x="304"/>
        <item x="410"/>
        <item x="375"/>
        <item x="125"/>
        <item x="391"/>
        <item x="278"/>
        <item x="110"/>
        <item x="0"/>
        <item x="76"/>
        <item x="345"/>
        <item x="350"/>
        <item x="286"/>
        <item x="201"/>
        <item x="291"/>
        <item x="395"/>
        <item x="374"/>
        <item x="225"/>
        <item x="253"/>
        <item x="41"/>
        <item x="449"/>
        <item x="453"/>
        <item x="330"/>
        <item x="349"/>
        <item x="368"/>
        <item x="285"/>
        <item x="200"/>
        <item x="233"/>
        <item x="215"/>
        <item x="224"/>
        <item x="264"/>
        <item x="277"/>
        <item x="139"/>
        <item x="404"/>
        <item x="381"/>
        <item x="168"/>
        <item x="179"/>
        <item x="167"/>
        <item x="435"/>
        <item x="192"/>
        <item x="284"/>
        <item x="344"/>
        <item x="424"/>
        <item x="356"/>
        <item x="440"/>
        <item x="452"/>
        <item x="191"/>
        <item x="245"/>
        <item x="355"/>
        <item x="431"/>
        <item x="335"/>
        <item x="447"/>
        <item x="394"/>
        <item x="446"/>
        <item x="153"/>
        <item x="138"/>
        <item x="40"/>
        <item x="434"/>
        <item x="423"/>
        <item x="363"/>
        <item x="329"/>
        <item x="448"/>
      </items>
    </pivotField>
    <pivotField dataField="1" showAll="0" defaultSubtotal="0">
      <items count="148">
        <item x="79"/>
        <item x="89"/>
        <item x="128"/>
        <item x="51"/>
        <item x="54"/>
        <item x="37"/>
        <item x="52"/>
        <item x="91"/>
        <item x="108"/>
        <item x="16"/>
        <item x="76"/>
        <item x="98"/>
        <item x="66"/>
        <item x="35"/>
        <item x="48"/>
        <item x="115"/>
        <item x="111"/>
        <item x="38"/>
        <item x="121"/>
        <item x="90"/>
        <item x="46"/>
        <item x="97"/>
        <item x="88"/>
        <item x="117"/>
        <item x="81"/>
        <item x="78"/>
        <item x="74"/>
        <item x="53"/>
        <item x="57"/>
        <item x="75"/>
        <item x="68"/>
        <item x="62"/>
        <item x="116"/>
        <item x="49"/>
        <item x="132"/>
        <item x="71"/>
        <item x="36"/>
        <item x="124"/>
        <item x="113"/>
        <item x="77"/>
        <item x="67"/>
        <item x="93"/>
        <item x="105"/>
        <item x="147"/>
        <item x="86"/>
        <item x="17"/>
        <item x="133"/>
        <item x="70"/>
        <item x="58"/>
        <item x="85"/>
        <item x="145"/>
        <item x="142"/>
        <item x="127"/>
        <item x="143"/>
        <item x="83"/>
        <item x="95"/>
        <item x="104"/>
        <item x="123"/>
        <item x="114"/>
        <item x="87"/>
        <item x="84"/>
        <item x="72"/>
        <item x="73"/>
        <item x="131"/>
        <item x="135"/>
        <item x="146"/>
        <item x="96"/>
        <item x="106"/>
        <item x="140"/>
        <item x="120"/>
        <item x="34"/>
        <item x="141"/>
        <item x="118"/>
        <item x="82"/>
        <item x="107"/>
        <item x="60"/>
        <item x="139"/>
        <item x="134"/>
        <item x="129"/>
        <item x="65"/>
        <item x="119"/>
        <item x="45"/>
        <item x="27"/>
        <item x="130"/>
        <item x="61"/>
        <item x="103"/>
        <item x="144"/>
        <item x="126"/>
        <item x="94"/>
        <item x="59"/>
        <item x="63"/>
        <item x="125"/>
        <item x="32"/>
        <item x="64"/>
        <item x="101"/>
        <item x="110"/>
        <item x="24"/>
        <item x="47"/>
        <item x="112"/>
        <item x="19"/>
        <item x="39"/>
        <item x="69"/>
        <item x="28"/>
        <item x="102"/>
        <item x="50"/>
        <item x="15"/>
        <item x="138"/>
        <item x="41"/>
        <item x="122"/>
        <item x="30"/>
        <item x="109"/>
        <item x="56"/>
        <item x="43"/>
        <item x="80"/>
        <item x="92"/>
        <item x="44"/>
        <item x="18"/>
        <item x="137"/>
        <item x="33"/>
        <item x="136"/>
        <item x="100"/>
        <item x="99"/>
        <item x="13"/>
        <item x="55"/>
        <item x="22"/>
        <item x="26"/>
        <item x="29"/>
        <item x="8"/>
        <item x="12"/>
        <item x="23"/>
        <item x="31"/>
        <item x="25"/>
        <item x="42"/>
        <item x="14"/>
        <item x="6"/>
        <item x="3"/>
        <item x="10"/>
        <item x="40"/>
        <item x="9"/>
        <item x="7"/>
        <item x="4"/>
        <item x="11"/>
        <item x="21"/>
        <item x="20"/>
        <item x="2"/>
        <item x="5"/>
        <item x="1"/>
        <item x="0"/>
      </items>
    </pivotField>
    <pivotField dataField="1" showAll="0" defaultSubtotal="0">
      <items count="486">
        <item x="88"/>
        <item x="16"/>
        <item x="135"/>
        <item x="37"/>
        <item x="102"/>
        <item x="51"/>
        <item x="57"/>
        <item x="35"/>
        <item x="17"/>
        <item x="52"/>
        <item x="38"/>
        <item x="71"/>
        <item x="120"/>
        <item x="105"/>
        <item x="53"/>
        <item x="217"/>
        <item x="203"/>
        <item x="151"/>
        <item x="139"/>
        <item x="475"/>
        <item x="55"/>
        <item x="138"/>
        <item x="386"/>
        <item x="36"/>
        <item x="358"/>
        <item x="189"/>
        <item x="424"/>
        <item x="150"/>
        <item x="165"/>
        <item x="250"/>
        <item x="19"/>
        <item x="137"/>
        <item x="176"/>
        <item x="216"/>
        <item x="104"/>
        <item x="47"/>
        <item x="15"/>
        <item x="72"/>
        <item x="405"/>
        <item x="202"/>
        <item x="445"/>
        <item x="485"/>
        <item x="153"/>
        <item x="218"/>
        <item x="173"/>
        <item x="248"/>
        <item x="258"/>
        <item x="89"/>
        <item x="274"/>
        <item x="56"/>
        <item x="154"/>
        <item x="34"/>
        <item x="215"/>
        <item x="18"/>
        <item x="356"/>
        <item x="117"/>
        <item x="177"/>
        <item x="238"/>
        <item x="426"/>
        <item x="152"/>
        <item x="393"/>
        <item x="403"/>
        <item x="166"/>
        <item x="49"/>
        <item x="188"/>
        <item x="70"/>
        <item x="272"/>
        <item x="121"/>
        <item x="410"/>
        <item x="175"/>
        <item x="477"/>
        <item x="27"/>
        <item x="187"/>
        <item x="288"/>
        <item x="164"/>
        <item x="379"/>
        <item x="101"/>
        <item x="90"/>
        <item x="462"/>
        <item x="199"/>
        <item x="302"/>
        <item x="13"/>
        <item x="385"/>
        <item x="134"/>
        <item x="404"/>
        <item x="228"/>
        <item x="149"/>
        <item x="85"/>
        <item x="133"/>
        <item x="340"/>
        <item x="255"/>
        <item x="54"/>
        <item x="483"/>
        <item x="32"/>
        <item x="423"/>
        <item x="417"/>
        <item x="200"/>
        <item x="433"/>
        <item x="237"/>
        <item x="270"/>
        <item x="62"/>
        <item x="24"/>
        <item x="295"/>
        <item x="226"/>
        <item x="377"/>
        <item x="74"/>
        <item x="82"/>
        <item x="335"/>
        <item x="103"/>
        <item x="8"/>
        <item x="119"/>
        <item x="148"/>
        <item x="12"/>
        <item x="39"/>
        <item x="273"/>
        <item x="81"/>
        <item x="116"/>
        <item x="60"/>
        <item x="256"/>
        <item x="28"/>
        <item x="355"/>
        <item x="459"/>
        <item x="271"/>
        <item x="301"/>
        <item x="236"/>
        <item x="100"/>
        <item x="269"/>
        <item x="214"/>
        <item x="146"/>
        <item x="387"/>
        <item x="130"/>
        <item x="431"/>
        <item x="329"/>
        <item x="201"/>
        <item x="162"/>
        <item x="136"/>
        <item x="143"/>
        <item x="95"/>
        <item x="436"/>
        <item x="30"/>
        <item x="484"/>
        <item x="73"/>
        <item x="418"/>
        <item x="111"/>
        <item x="411"/>
        <item x="365"/>
        <item x="357"/>
        <item x="147"/>
        <item x="398"/>
        <item x="276"/>
        <item x="193"/>
        <item x="108"/>
        <item x="14"/>
        <item x="257"/>
        <item x="372"/>
        <item x="268"/>
        <item x="59"/>
        <item x="174"/>
        <item x="334"/>
        <item x="92"/>
        <item x="304"/>
        <item x="158"/>
        <item x="320"/>
        <item x="246"/>
        <item x="309"/>
        <item x="63"/>
        <item x="129"/>
        <item x="476"/>
        <item x="397"/>
        <item x="328"/>
        <item x="79"/>
        <item x="282"/>
        <item x="185"/>
        <item x="254"/>
        <item x="443"/>
        <item x="347"/>
        <item x="245"/>
        <item x="45"/>
        <item x="224"/>
        <item x="196"/>
        <item x="394"/>
        <item x="6"/>
        <item x="287"/>
        <item x="213"/>
        <item x="364"/>
        <item x="184"/>
        <item x="3"/>
        <item x="118"/>
        <item x="292"/>
        <item x="266"/>
        <item x="131"/>
        <item x="303"/>
        <item x="378"/>
        <item x="163"/>
        <item x="181"/>
        <item x="211"/>
        <item x="10"/>
        <item x="126"/>
        <item x="220"/>
        <item x="33"/>
        <item x="330"/>
        <item x="87"/>
        <item x="171"/>
        <item x="267"/>
        <item x="429"/>
        <item x="109"/>
        <item x="440"/>
        <item x="83"/>
        <item x="145"/>
        <item x="227"/>
        <item x="212"/>
        <item x="318"/>
        <item x="376"/>
        <item x="46"/>
        <item x="307"/>
        <item x="353"/>
        <item x="132"/>
        <item x="402"/>
        <item x="457"/>
        <item x="263"/>
        <item x="9"/>
        <item x="331"/>
        <item x="186"/>
        <item x="264"/>
        <item x="249"/>
        <item x="360"/>
        <item x="223"/>
        <item x="370"/>
        <item x="474"/>
        <item x="98"/>
        <item x="339"/>
        <item x="425"/>
        <item x="206"/>
        <item x="7"/>
        <item x="4"/>
        <item x="161"/>
        <item x="84"/>
        <item x="172"/>
        <item x="48"/>
        <item x="416"/>
        <item x="144"/>
        <item x="210"/>
        <item x="324"/>
        <item x="197"/>
        <item x="94"/>
        <item x="319"/>
        <item x="170"/>
        <item x="113"/>
        <item x="198"/>
        <item x="209"/>
        <item x="437"/>
        <item x="97"/>
        <item x="65"/>
        <item x="265"/>
        <item x="22"/>
        <item x="448"/>
        <item x="243"/>
        <item x="127"/>
        <item x="11"/>
        <item x="432"/>
        <item x="278"/>
        <item x="465"/>
        <item x="128"/>
        <item x="69"/>
        <item x="354"/>
        <item x="26"/>
        <item x="233"/>
        <item x="293"/>
        <item x="183"/>
        <item x="336"/>
        <item x="114"/>
        <item x="311"/>
        <item x="50"/>
        <item x="327"/>
        <item x="195"/>
        <item x="367"/>
        <item x="77"/>
        <item x="383"/>
        <item x="208"/>
        <item x="29"/>
        <item x="388"/>
        <item x="244"/>
        <item x="461"/>
        <item x="400"/>
        <item x="142"/>
        <item x="350"/>
        <item x="300"/>
        <item x="99"/>
        <item x="41"/>
        <item x="247"/>
        <item x="66"/>
        <item x="23"/>
        <item x="107"/>
        <item x="86"/>
        <item x="160"/>
        <item x="31"/>
        <item x="225"/>
        <item x="93"/>
        <item x="159"/>
        <item x="352"/>
        <item x="415"/>
        <item x="458"/>
        <item x="231"/>
        <item x="25"/>
        <item x="124"/>
        <item x="115"/>
        <item x="444"/>
        <item x="345"/>
        <item x="315"/>
        <item x="399"/>
        <item x="482"/>
        <item x="312"/>
        <item x="64"/>
        <item x="67"/>
        <item x="452"/>
        <item x="2"/>
        <item x="392"/>
        <item x="348"/>
        <item x="283"/>
        <item x="401"/>
        <item x="363"/>
        <item x="112"/>
        <item x="326"/>
        <item x="43"/>
        <item x="294"/>
        <item x="235"/>
        <item x="421"/>
        <item x="337"/>
        <item x="435"/>
        <item x="240"/>
        <item x="76"/>
        <item x="68"/>
        <item x="323"/>
        <item x="194"/>
        <item x="156"/>
        <item x="344"/>
        <item x="280"/>
        <item x="369"/>
        <item x="5"/>
        <item x="96"/>
        <item x="409"/>
        <item x="473"/>
        <item x="390"/>
        <item x="192"/>
        <item x="44"/>
        <item x="299"/>
        <item x="382"/>
        <item x="125"/>
        <item x="395"/>
        <item x="441"/>
        <item x="234"/>
        <item x="262"/>
        <item x="286"/>
        <item x="314"/>
        <item x="182"/>
        <item x="281"/>
        <item x="306"/>
        <item x="351"/>
        <item x="222"/>
        <item x="381"/>
        <item x="253"/>
        <item x="338"/>
        <item x="325"/>
        <item x="346"/>
        <item x="289"/>
        <item x="422"/>
        <item x="285"/>
        <item x="207"/>
        <item x="179"/>
        <item x="279"/>
        <item x="297"/>
        <item x="78"/>
        <item x="310"/>
        <item x="471"/>
        <item x="428"/>
        <item x="80"/>
        <item x="438"/>
        <item x="343"/>
        <item x="232"/>
        <item x="384"/>
        <item x="316"/>
        <item x="298"/>
        <item x="373"/>
        <item x="308"/>
        <item x="110"/>
        <item x="242"/>
        <item x="407"/>
        <item x="464"/>
        <item x="456"/>
        <item x="375"/>
        <item x="317"/>
        <item x="467"/>
        <item x="296"/>
        <item x="368"/>
        <item x="430"/>
        <item x="157"/>
        <item x="481"/>
        <item x="260"/>
        <item x="419"/>
        <item x="450"/>
        <item x="61"/>
        <item x="442"/>
        <item x="241"/>
        <item x="408"/>
        <item x="333"/>
        <item x="480"/>
        <item x="291"/>
        <item x="374"/>
        <item x="349"/>
        <item x="455"/>
        <item x="261"/>
        <item x="342"/>
        <item x="277"/>
        <item x="478"/>
        <item x="466"/>
        <item x="391"/>
        <item x="313"/>
        <item x="420"/>
        <item x="413"/>
        <item x="180"/>
        <item x="380"/>
        <item x="439"/>
        <item x="221"/>
        <item x="252"/>
        <item x="322"/>
        <item x="454"/>
        <item x="229"/>
        <item x="396"/>
        <item x="230"/>
        <item x="169"/>
        <item x="414"/>
        <item x="362"/>
        <item x="460"/>
        <item x="259"/>
        <item x="463"/>
        <item x="451"/>
        <item x="1"/>
        <item x="123"/>
        <item x="361"/>
        <item x="167"/>
        <item x="469"/>
        <item x="472"/>
        <item x="122"/>
        <item x="141"/>
        <item x="42"/>
        <item x="205"/>
        <item x="305"/>
        <item x="0"/>
        <item x="168"/>
        <item x="21"/>
        <item x="191"/>
        <item x="239"/>
        <item x="284"/>
        <item x="389"/>
        <item x="204"/>
        <item x="406"/>
        <item x="321"/>
        <item x="20"/>
        <item x="447"/>
        <item x="479"/>
        <item x="178"/>
        <item x="332"/>
        <item x="58"/>
        <item x="453"/>
        <item x="91"/>
        <item x="290"/>
        <item x="106"/>
        <item x="219"/>
        <item x="449"/>
        <item x="190"/>
        <item x="366"/>
        <item x="251"/>
        <item x="75"/>
        <item x="470"/>
        <item x="412"/>
        <item x="341"/>
        <item x="275"/>
        <item x="427"/>
        <item x="446"/>
        <item x="468"/>
        <item x="140"/>
        <item x="371"/>
        <item x="155"/>
        <item x="359"/>
        <item x="434"/>
        <item x="40"/>
      </items>
    </pivotField>
    <pivotField dataField="1" showAll="0" defaultSubtotal="0">
      <items count="132">
        <item x="125"/>
        <item x="126"/>
        <item x="121"/>
        <item x="120"/>
        <item x="119"/>
        <item x="113"/>
        <item x="83"/>
        <item x="117"/>
        <item x="114"/>
        <item x="94"/>
        <item x="111"/>
        <item x="86"/>
        <item x="124"/>
        <item x="100"/>
        <item x="116"/>
        <item x="115"/>
        <item x="88"/>
        <item x="118"/>
        <item x="110"/>
        <item x="72"/>
        <item x="67"/>
        <item x="95"/>
        <item x="79"/>
        <item x="75"/>
        <item x="87"/>
        <item x="81"/>
        <item x="73"/>
        <item x="112"/>
        <item x="85"/>
        <item x="128"/>
        <item x="84"/>
        <item x="60"/>
        <item x="49"/>
        <item x="101"/>
        <item x="129"/>
        <item x="66"/>
        <item x="96"/>
        <item x="93"/>
        <item x="82"/>
        <item x="80"/>
        <item x="97"/>
        <item x="77"/>
        <item x="107"/>
        <item x="68"/>
        <item x="102"/>
        <item x="92"/>
        <item x="53"/>
        <item x="131"/>
        <item x="55"/>
        <item x="74"/>
        <item x="127"/>
        <item x="98"/>
        <item x="108"/>
        <item x="122"/>
        <item x="106"/>
        <item x="64"/>
        <item x="71"/>
        <item x="109"/>
        <item x="57"/>
        <item x="47"/>
        <item x="56"/>
        <item x="123"/>
        <item x="104"/>
        <item x="78"/>
        <item x="62"/>
        <item x="31"/>
        <item x="39"/>
        <item x="54"/>
        <item x="91"/>
        <item x="76"/>
        <item x="99"/>
        <item x="52"/>
        <item x="130"/>
        <item x="70"/>
        <item x="51"/>
        <item x="46"/>
        <item x="63"/>
        <item x="69"/>
        <item x="42"/>
        <item x="50"/>
        <item x="65"/>
        <item x="90"/>
        <item x="103"/>
        <item x="105"/>
        <item x="44"/>
        <item x="61"/>
        <item x="11"/>
        <item x="89"/>
        <item x="29"/>
        <item x="48"/>
        <item x="14"/>
        <item x="37"/>
        <item x="38"/>
        <item x="45"/>
        <item x="33"/>
        <item x="40"/>
        <item x="36"/>
        <item x="43"/>
        <item x="26"/>
        <item x="20"/>
        <item x="59"/>
        <item x="58"/>
        <item x="9"/>
        <item x="25"/>
        <item x="35"/>
        <item x="18"/>
        <item x="21"/>
        <item x="30"/>
        <item x="32"/>
        <item x="34"/>
        <item x="19"/>
        <item x="28"/>
        <item x="10"/>
        <item x="27"/>
        <item x="17"/>
        <item x="7"/>
        <item x="41"/>
        <item x="15"/>
        <item x="0"/>
        <item x="23"/>
        <item x="16"/>
        <item x="1"/>
        <item x="13"/>
        <item x="12"/>
        <item x="5"/>
        <item x="24"/>
        <item x="6"/>
        <item x="8"/>
        <item x="22"/>
        <item x="2"/>
        <item x="4"/>
        <item x="3"/>
      </items>
    </pivotField>
    <pivotField dataField="1" showAll="0" defaultSubtotal="0">
      <items count="420">
        <item x="220"/>
        <item x="253"/>
        <item x="309"/>
        <item x="225"/>
        <item x="200"/>
        <item x="271"/>
        <item x="184"/>
        <item x="349"/>
        <item x="175"/>
        <item x="211"/>
        <item x="250"/>
        <item x="100"/>
        <item x="381"/>
        <item x="87"/>
        <item x="133"/>
        <item x="368"/>
        <item x="224"/>
        <item x="154"/>
        <item x="164"/>
        <item x="412"/>
        <item x="11"/>
        <item x="30"/>
        <item x="73"/>
        <item x="38"/>
        <item x="266"/>
        <item x="69"/>
        <item x="321"/>
        <item x="50"/>
        <item x="187"/>
        <item x="328"/>
        <item x="14"/>
        <item x="244"/>
        <item x="116"/>
        <item x="150"/>
        <item x="196"/>
        <item x="173"/>
        <item x="286"/>
        <item x="221"/>
        <item x="254"/>
        <item x="318"/>
        <item x="232"/>
        <item x="74"/>
        <item x="136"/>
        <item x="182"/>
        <item x="140"/>
        <item x="255"/>
        <item x="89"/>
        <item x="301"/>
        <item x="260"/>
        <item x="130"/>
        <item x="230"/>
        <item x="276"/>
        <item x="53"/>
        <item x="61"/>
        <item x="126"/>
        <item x="56"/>
        <item x="419"/>
        <item x="178"/>
        <item x="362"/>
        <item x="217"/>
        <item x="101"/>
        <item x="9"/>
        <item x="234"/>
        <item x="109"/>
        <item x="68"/>
        <item x="322"/>
        <item x="325"/>
        <item x="359"/>
        <item x="208"/>
        <item x="18"/>
        <item x="112"/>
        <item x="201"/>
        <item x="97"/>
        <item x="272"/>
        <item x="156"/>
        <item x="119"/>
        <item x="28"/>
        <item x="366"/>
        <item x="223"/>
        <item x="91"/>
        <item x="331"/>
        <item x="165"/>
        <item x="142"/>
        <item x="70"/>
        <item x="270"/>
        <item x="243"/>
        <item x="177"/>
        <item x="117"/>
        <item x="383"/>
        <item x="151"/>
        <item x="47"/>
        <item x="57"/>
        <item x="235"/>
        <item x="308"/>
        <item x="36"/>
        <item x="19"/>
        <item x="357"/>
        <item x="129"/>
        <item x="289"/>
        <item x="367"/>
        <item x="75"/>
        <item x="37"/>
        <item x="54"/>
        <item x="341"/>
        <item x="236"/>
        <item x="104"/>
        <item x="157"/>
        <item x="55"/>
        <item x="85"/>
        <item x="176"/>
        <item x="10"/>
        <item x="114"/>
        <item x="32"/>
        <item x="310"/>
        <item x="281"/>
        <item x="120"/>
        <item x="319"/>
        <item x="249"/>
        <item x="155"/>
        <item x="118"/>
        <item x="35"/>
        <item x="81"/>
        <item x="102"/>
        <item x="299"/>
        <item x="188"/>
        <item x="52"/>
        <item x="258"/>
        <item x="135"/>
        <item x="99"/>
        <item x="352"/>
        <item x="76"/>
        <item x="320"/>
        <item x="168"/>
        <item x="210"/>
        <item x="17"/>
        <item x="251"/>
        <item x="25"/>
        <item x="345"/>
        <item x="66"/>
        <item x="45"/>
        <item x="183"/>
        <item x="262"/>
        <item x="105"/>
        <item x="7"/>
        <item x="415"/>
        <item x="172"/>
        <item x="84"/>
        <item x="15"/>
        <item x="41"/>
        <item x="238"/>
        <item x="213"/>
        <item x="199"/>
        <item x="134"/>
        <item x="0"/>
        <item x="202"/>
        <item x="303"/>
        <item x="90"/>
        <item x="269"/>
        <item x="58"/>
        <item x="162"/>
        <item x="396"/>
        <item x="125"/>
        <item x="16"/>
        <item x="190"/>
        <item x="1"/>
        <item x="115"/>
        <item x="252"/>
        <item x="88"/>
        <item x="98"/>
        <item x="186"/>
        <item x="370"/>
        <item x="382"/>
        <item x="24"/>
        <item x="144"/>
        <item x="313"/>
        <item x="34"/>
        <item x="64"/>
        <item x="292"/>
        <item x="166"/>
        <item x="20"/>
        <item x="257"/>
        <item x="13"/>
        <item x="12"/>
        <item x="113"/>
        <item x="51"/>
        <item x="131"/>
        <item x="233"/>
        <item x="189"/>
        <item x="143"/>
        <item x="218"/>
        <item x="351"/>
        <item x="5"/>
        <item x="149"/>
        <item x="103"/>
        <item x="358"/>
        <item x="174"/>
        <item x="209"/>
        <item x="160"/>
        <item x="411"/>
        <item x="296"/>
        <item x="29"/>
        <item x="404"/>
        <item x="242"/>
        <item x="386"/>
        <item x="226"/>
        <item x="401"/>
        <item x="127"/>
        <item x="275"/>
        <item x="72"/>
        <item x="31"/>
        <item x="207"/>
        <item x="43"/>
        <item x="268"/>
        <item x="198"/>
        <item x="33"/>
        <item x="148"/>
        <item x="418"/>
        <item x="65"/>
        <item x="264"/>
        <item x="287"/>
        <item x="86"/>
        <item x="215"/>
        <item x="195"/>
        <item x="71"/>
        <item x="375"/>
        <item x="124"/>
        <item x="153"/>
        <item x="49"/>
        <item x="241"/>
        <item x="6"/>
        <item x="27"/>
        <item x="83"/>
        <item x="192"/>
        <item x="379"/>
        <item x="171"/>
        <item x="332"/>
        <item x="369"/>
        <item x="222"/>
        <item x="282"/>
        <item x="79"/>
        <item x="204"/>
        <item x="181"/>
        <item x="128"/>
        <item x="8"/>
        <item x="132"/>
        <item x="145"/>
        <item x="137"/>
        <item x="170"/>
        <item x="336"/>
        <item x="248"/>
        <item x="295"/>
        <item x="300"/>
        <item x="185"/>
        <item x="219"/>
        <item x="26"/>
        <item x="373"/>
        <item x="229"/>
        <item x="48"/>
        <item x="163"/>
        <item x="46"/>
        <item x="413"/>
        <item x="356"/>
        <item x="122"/>
        <item x="82"/>
        <item x="285"/>
        <item x="231"/>
        <item x="365"/>
        <item x="67"/>
        <item x="342"/>
        <item x="256"/>
        <item x="326"/>
        <item x="304"/>
        <item x="194"/>
        <item x="245"/>
        <item x="141"/>
        <item x="95"/>
        <item x="237"/>
        <item x="388"/>
        <item x="397"/>
        <item x="206"/>
        <item x="395"/>
        <item x="364"/>
        <item x="152"/>
        <item x="317"/>
        <item x="305"/>
        <item x="44"/>
        <item x="348"/>
        <item x="111"/>
        <item x="302"/>
        <item x="108"/>
        <item x="22"/>
        <item x="63"/>
        <item x="403"/>
        <item x="311"/>
        <item x="39"/>
        <item x="288"/>
        <item x="307"/>
        <item x="376"/>
        <item x="267"/>
        <item x="94"/>
        <item x="197"/>
        <item x="290"/>
        <item x="347"/>
        <item x="110"/>
        <item x="409"/>
        <item x="399"/>
        <item x="42"/>
        <item x="212"/>
        <item x="261"/>
        <item x="315"/>
        <item x="139"/>
        <item x="96"/>
        <item x="279"/>
        <item x="363"/>
        <item x="344"/>
        <item x="350"/>
        <item x="62"/>
        <item x="374"/>
        <item x="330"/>
        <item x="158"/>
        <item x="294"/>
        <item x="410"/>
        <item x="265"/>
        <item x="385"/>
        <item x="340"/>
        <item x="380"/>
        <item x="316"/>
        <item x="2"/>
        <item x="312"/>
        <item x="391"/>
        <item x="4"/>
        <item x="314"/>
        <item x="416"/>
        <item x="355"/>
        <item x="205"/>
        <item x="161"/>
        <item x="80"/>
        <item x="387"/>
        <item x="193"/>
        <item x="400"/>
        <item x="339"/>
        <item x="23"/>
        <item x="393"/>
        <item x="78"/>
        <item x="263"/>
        <item x="93"/>
        <item x="146"/>
        <item x="77"/>
        <item x="121"/>
        <item x="280"/>
        <item x="227"/>
        <item x="138"/>
        <item x="179"/>
        <item x="361"/>
        <item x="390"/>
        <item x="159"/>
        <item x="123"/>
        <item x="334"/>
        <item x="293"/>
        <item x="259"/>
        <item x="372"/>
        <item x="167"/>
        <item x="406"/>
        <item x="3"/>
        <item x="228"/>
        <item x="306"/>
        <item x="239"/>
        <item x="106"/>
        <item x="323"/>
        <item x="92"/>
        <item x="247"/>
        <item x="246"/>
        <item x="291"/>
        <item x="283"/>
        <item x="378"/>
        <item x="107"/>
        <item x="60"/>
        <item x="327"/>
        <item x="147"/>
        <item x="392"/>
        <item x="59"/>
        <item x="21"/>
        <item x="297"/>
        <item x="324"/>
        <item x="216"/>
        <item x="354"/>
        <item x="329"/>
        <item x="203"/>
        <item x="389"/>
        <item x="169"/>
        <item x="398"/>
        <item x="377"/>
        <item x="338"/>
        <item x="298"/>
        <item x="414"/>
        <item x="278"/>
        <item x="274"/>
        <item x="384"/>
        <item x="240"/>
        <item x="335"/>
        <item x="284"/>
        <item x="394"/>
        <item x="402"/>
        <item x="353"/>
        <item x="417"/>
        <item x="191"/>
        <item x="40"/>
        <item x="405"/>
        <item x="214"/>
        <item x="371"/>
        <item x="180"/>
        <item x="360"/>
        <item x="408"/>
        <item x="346"/>
        <item x="277"/>
        <item x="333"/>
        <item x="337"/>
        <item x="273"/>
        <item x="343"/>
        <item x="407"/>
      </items>
    </pivotField>
    <pivotField dataField="1" showAll="0" defaultSubtotal="0">
      <items count="13">
        <item x="3"/>
        <item x="0"/>
        <item x="1"/>
        <item x="11"/>
        <item x="8"/>
        <item x="4"/>
        <item x="7"/>
        <item x="6"/>
        <item x="9"/>
        <item x="10"/>
        <item x="2"/>
        <item x="5"/>
        <item x="12"/>
      </items>
    </pivotField>
  </pivotFields>
  <rowFields count="3">
    <field x="2"/>
    <field x="6"/>
    <field x="5"/>
  </rowFields>
  <rowItems count="1221">
    <i>
      <x/>
    </i>
    <i r="1">
      <x/>
      <x v="47"/>
    </i>
    <i r="1">
      <x v="1"/>
      <x v="45"/>
    </i>
    <i r="1">
      <x v="2"/>
      <x v="35"/>
    </i>
    <i r="1">
      <x v="3"/>
      <x/>
    </i>
    <i r="1">
      <x v="4"/>
      <x v="39"/>
    </i>
    <i r="1">
      <x v="5"/>
      <x v="33"/>
    </i>
    <i r="1">
      <x v="6"/>
      <x v="1"/>
    </i>
    <i r="1">
      <x v="7"/>
      <x v="34"/>
    </i>
    <i r="1">
      <x v="8"/>
      <x v="2"/>
    </i>
    <i r="1">
      <x v="9"/>
      <x v="50"/>
    </i>
    <i r="1">
      <x v="10"/>
      <x v="42"/>
    </i>
    <i r="1">
      <x v="11"/>
      <x v="51"/>
    </i>
    <i r="1">
      <x v="12"/>
      <x v="32"/>
    </i>
    <i r="1">
      <x v="13"/>
      <x v="43"/>
    </i>
    <i r="1">
      <x v="14"/>
      <x v="54"/>
    </i>
    <i r="1">
      <x v="15"/>
      <x v="38"/>
    </i>
    <i r="1">
      <x v="16"/>
      <x v="52"/>
    </i>
    <i r="1">
      <x v="17"/>
      <x v="30"/>
    </i>
    <i r="1">
      <x v="18"/>
      <x v="3"/>
    </i>
    <i r="1">
      <x v="19"/>
      <x v="28"/>
    </i>
    <i t="blank">
      <x/>
    </i>
    <i>
      <x v="1"/>
    </i>
    <i r="1">
      <x/>
      <x v="47"/>
    </i>
    <i r="1">
      <x v="1"/>
      <x v="45"/>
    </i>
    <i r="1">
      <x v="2"/>
      <x v="39"/>
    </i>
    <i r="1">
      <x v="3"/>
      <x v="35"/>
    </i>
    <i r="1">
      <x v="4"/>
      <x/>
    </i>
    <i r="1">
      <x v="5"/>
      <x v="42"/>
    </i>
    <i r="1">
      <x v="6"/>
      <x v="33"/>
    </i>
    <i r="1">
      <x v="7"/>
      <x v="2"/>
    </i>
    <i r="1">
      <x v="8"/>
      <x v="1"/>
    </i>
    <i r="1">
      <x v="9"/>
      <x v="50"/>
    </i>
    <i r="1">
      <x v="10"/>
      <x v="32"/>
    </i>
    <i r="1">
      <x v="11"/>
      <x v="51"/>
    </i>
    <i r="1">
      <x v="12"/>
      <x v="43"/>
    </i>
    <i r="1">
      <x v="13"/>
      <x v="34"/>
    </i>
    <i r="1">
      <x v="14"/>
      <x v="38"/>
    </i>
    <i r="1">
      <x v="15"/>
      <x v="30"/>
    </i>
    <i r="1">
      <x v="16"/>
      <x v="31"/>
    </i>
    <i r="1">
      <x v="17"/>
      <x v="52"/>
    </i>
    <i r="1">
      <x v="18"/>
      <x v="57"/>
    </i>
    <i r="1">
      <x v="19"/>
      <x v="54"/>
    </i>
    <i t="blank">
      <x v="1"/>
    </i>
    <i>
      <x v="2"/>
    </i>
    <i r="1">
      <x/>
      <x v="45"/>
    </i>
    <i r="1">
      <x v="1"/>
      <x v="39"/>
    </i>
    <i r="1">
      <x v="2"/>
      <x v="47"/>
    </i>
    <i r="1">
      <x v="3"/>
      <x v="35"/>
    </i>
    <i r="1">
      <x v="4"/>
      <x v="42"/>
    </i>
    <i r="1">
      <x v="5"/>
      <x v="32"/>
    </i>
    <i r="1">
      <x v="6"/>
      <x v="33"/>
    </i>
    <i r="1">
      <x v="7"/>
      <x v="38"/>
    </i>
    <i r="1">
      <x v="8"/>
      <x v="50"/>
    </i>
    <i r="1">
      <x v="9"/>
      <x/>
    </i>
    <i r="1">
      <x v="10"/>
      <x v="43"/>
    </i>
    <i r="1">
      <x v="11"/>
      <x v="51"/>
    </i>
    <i r="1">
      <x v="12"/>
      <x v="30"/>
    </i>
    <i r="1">
      <x v="13"/>
      <x v="2"/>
    </i>
    <i r="1">
      <x v="14"/>
      <x v="31"/>
    </i>
    <i r="1">
      <x v="15"/>
      <x v="34"/>
    </i>
    <i r="1">
      <x v="16"/>
      <x v="1"/>
    </i>
    <i r="1">
      <x v="17"/>
      <x v="57"/>
    </i>
    <i r="1">
      <x v="18"/>
      <x v="48"/>
    </i>
    <i r="1">
      <x v="19"/>
      <x v="37"/>
    </i>
    <i t="blank">
      <x v="2"/>
    </i>
    <i>
      <x v="3"/>
    </i>
    <i r="1">
      <x/>
      <x v="47"/>
    </i>
    <i r="1">
      <x v="1"/>
      <x v="39"/>
    </i>
    <i r="1">
      <x v="2"/>
      <x/>
    </i>
    <i r="1">
      <x v="3"/>
      <x v="45"/>
    </i>
    <i r="1">
      <x v="4"/>
      <x v="2"/>
    </i>
    <i r="1">
      <x v="5"/>
      <x v="1"/>
    </i>
    <i r="1">
      <x v="6"/>
      <x v="42"/>
    </i>
    <i r="1">
      <x v="7"/>
      <x v="35"/>
    </i>
    <i r="1">
      <x v="8"/>
      <x v="34"/>
    </i>
    <i r="1">
      <x v="9"/>
      <x v="43"/>
    </i>
    <i r="1">
      <x v="10"/>
      <x v="50"/>
    </i>
    <i r="1">
      <x v="11"/>
      <x v="51"/>
    </i>
    <i r="1">
      <x v="12"/>
      <x v="33"/>
    </i>
    <i r="1">
      <x v="13"/>
      <x v="38"/>
    </i>
    <i r="1">
      <x v="14"/>
      <x v="30"/>
    </i>
    <i r="1">
      <x v="15"/>
      <x v="31"/>
    </i>
    <i r="1">
      <x v="16"/>
      <x v="32"/>
    </i>
    <i r="1">
      <x v="17"/>
      <x v="54"/>
    </i>
    <i r="1">
      <x v="18"/>
      <x v="48"/>
    </i>
    <i r="1">
      <x v="19"/>
      <x v="36"/>
    </i>
    <i t="blank">
      <x v="3"/>
    </i>
    <i>
      <x v="4"/>
    </i>
    <i r="1">
      <x/>
      <x v="47"/>
    </i>
    <i r="1">
      <x v="1"/>
      <x v="35"/>
    </i>
    <i r="1">
      <x v="2"/>
      <x v="39"/>
    </i>
    <i r="1">
      <x v="3"/>
      <x v="33"/>
    </i>
    <i r="1">
      <x v="4"/>
      <x/>
    </i>
    <i r="1">
      <x v="5"/>
      <x v="45"/>
    </i>
    <i r="1">
      <x v="6"/>
      <x v="28"/>
    </i>
    <i r="1">
      <x v="7"/>
      <x v="1"/>
    </i>
    <i r="1">
      <x v="8"/>
      <x v="42"/>
    </i>
    <i r="1">
      <x v="9"/>
      <x v="34"/>
    </i>
    <i r="1">
      <x v="10"/>
      <x v="32"/>
    </i>
    <i r="1">
      <x v="11"/>
      <x v="51"/>
    </i>
    <i r="1">
      <x v="12"/>
      <x v="2"/>
    </i>
    <i r="1">
      <x v="13"/>
      <x v="3"/>
    </i>
    <i r="2">
      <x v="50"/>
    </i>
    <i r="1">
      <x v="15"/>
      <x v="52"/>
    </i>
    <i r="1">
      <x v="16"/>
      <x v="31"/>
    </i>
    <i r="1">
      <x v="17"/>
      <x v="38"/>
    </i>
    <i r="2">
      <x v="43"/>
    </i>
    <i r="1">
      <x v="19"/>
      <x v="54"/>
    </i>
    <i t="blank">
      <x v="4"/>
    </i>
    <i>
      <x v="5"/>
    </i>
    <i r="1">
      <x/>
      <x v="47"/>
    </i>
    <i r="1">
      <x v="1"/>
      <x/>
    </i>
    <i r="1">
      <x v="2"/>
      <x v="39"/>
    </i>
    <i r="1">
      <x v="3"/>
      <x v="35"/>
    </i>
    <i r="1">
      <x v="4"/>
      <x v="1"/>
    </i>
    <i r="1">
      <x v="5"/>
      <x v="2"/>
    </i>
    <i r="1">
      <x v="6"/>
      <x v="45"/>
    </i>
    <i r="1">
      <x v="7"/>
      <x v="34"/>
    </i>
    <i r="1">
      <x v="8"/>
      <x v="50"/>
    </i>
    <i r="1">
      <x v="9"/>
      <x v="33"/>
    </i>
    <i r="1">
      <x v="10"/>
      <x v="42"/>
    </i>
    <i r="1">
      <x v="11"/>
      <x v="51"/>
    </i>
    <i r="1">
      <x v="12"/>
      <x v="54"/>
    </i>
    <i r="1">
      <x v="13"/>
      <x v="43"/>
    </i>
    <i r="1">
      <x v="14"/>
      <x v="38"/>
    </i>
    <i r="1">
      <x v="15"/>
      <x v="30"/>
    </i>
    <i r="1">
      <x v="16"/>
      <x v="32"/>
    </i>
    <i r="1">
      <x v="17"/>
      <x v="52"/>
    </i>
    <i r="1">
      <x v="18"/>
      <x v="57"/>
    </i>
    <i r="1">
      <x v="19"/>
      <x v="31"/>
    </i>
    <i t="blank">
      <x v="5"/>
    </i>
    <i>
      <x v="6"/>
    </i>
    <i r="1">
      <x/>
      <x v="47"/>
    </i>
    <i r="1">
      <x v="1"/>
      <x v="39"/>
    </i>
    <i r="1">
      <x v="2"/>
      <x/>
    </i>
    <i r="1">
      <x v="3"/>
      <x v="35"/>
    </i>
    <i r="2">
      <x v="45"/>
    </i>
    <i r="1">
      <x v="5"/>
      <x v="2"/>
    </i>
    <i r="1">
      <x v="6"/>
      <x v="1"/>
    </i>
    <i r="1">
      <x v="7"/>
      <x v="33"/>
    </i>
    <i r="1">
      <x v="8"/>
      <x v="50"/>
    </i>
    <i r="1">
      <x v="9"/>
      <x v="34"/>
    </i>
    <i r="1">
      <x v="10"/>
      <x v="42"/>
    </i>
    <i r="1">
      <x v="11"/>
      <x v="51"/>
    </i>
    <i r="1">
      <x v="12"/>
      <x v="43"/>
    </i>
    <i r="1">
      <x v="13"/>
      <x v="38"/>
    </i>
    <i r="1">
      <x v="14"/>
      <x v="54"/>
    </i>
    <i r="1">
      <x v="15"/>
      <x v="52"/>
    </i>
    <i r="1">
      <x v="16"/>
      <x v="32"/>
    </i>
    <i r="1">
      <x v="17"/>
      <x v="30"/>
    </i>
    <i r="2">
      <x v="48"/>
    </i>
    <i r="1">
      <x v="19"/>
      <x v="57"/>
    </i>
    <i t="blank">
      <x v="6"/>
    </i>
    <i>
      <x v="7"/>
    </i>
    <i r="1">
      <x/>
      <x v="45"/>
    </i>
    <i r="2">
      <x v="47"/>
    </i>
    <i r="1">
      <x v="2"/>
      <x v="35"/>
    </i>
    <i r="1">
      <x v="3"/>
      <x v="39"/>
    </i>
    <i r="1">
      <x v="4"/>
      <x/>
    </i>
    <i r="1">
      <x v="5"/>
      <x v="33"/>
    </i>
    <i r="1">
      <x v="6"/>
      <x v="34"/>
    </i>
    <i r="1">
      <x v="7"/>
      <x v="51"/>
    </i>
    <i r="1">
      <x v="8"/>
      <x v="1"/>
    </i>
    <i r="1">
      <x v="9"/>
      <x v="2"/>
    </i>
    <i r="1">
      <x v="10"/>
      <x v="42"/>
    </i>
    <i r="1">
      <x v="11"/>
      <x v="50"/>
    </i>
    <i r="1">
      <x v="12"/>
      <x v="32"/>
    </i>
    <i r="1">
      <x v="13"/>
      <x v="43"/>
    </i>
    <i r="1">
      <x v="14"/>
      <x v="52"/>
    </i>
    <i r="1">
      <x v="15"/>
      <x v="54"/>
    </i>
    <i r="1">
      <x v="16"/>
      <x v="29"/>
    </i>
    <i r="1">
      <x v="17"/>
      <x v="31"/>
    </i>
    <i r="1">
      <x v="18"/>
      <x v="28"/>
    </i>
    <i r="1">
      <x v="19"/>
      <x v="48"/>
    </i>
    <i t="blank">
      <x v="7"/>
    </i>
    <i>
      <x v="8"/>
    </i>
    <i r="1">
      <x/>
      <x v="45"/>
    </i>
    <i r="1">
      <x v="1"/>
      <x v="47"/>
    </i>
    <i r="1">
      <x v="2"/>
      <x v="35"/>
    </i>
    <i r="1">
      <x v="3"/>
      <x v="39"/>
    </i>
    <i r="1">
      <x v="4"/>
      <x v="33"/>
    </i>
    <i r="1">
      <x v="5"/>
      <x/>
    </i>
    <i r="1">
      <x v="6"/>
      <x v="50"/>
    </i>
    <i r="1">
      <x v="7"/>
      <x v="34"/>
    </i>
    <i r="1">
      <x v="8"/>
      <x v="32"/>
    </i>
    <i r="1">
      <x v="9"/>
      <x v="51"/>
    </i>
    <i r="1">
      <x v="10"/>
      <x v="1"/>
    </i>
    <i r="1">
      <x v="11"/>
      <x v="43"/>
    </i>
    <i r="1">
      <x v="12"/>
      <x v="2"/>
    </i>
    <i r="1">
      <x v="13"/>
      <x v="42"/>
    </i>
    <i r="1">
      <x v="14"/>
      <x v="30"/>
    </i>
    <i r="1">
      <x v="15"/>
      <x v="37"/>
    </i>
    <i r="1">
      <x v="16"/>
      <x v="38"/>
    </i>
    <i r="1">
      <x v="17"/>
      <x v="36"/>
    </i>
    <i r="2">
      <x v="48"/>
    </i>
    <i r="2">
      <x v="49"/>
    </i>
    <i t="blank">
      <x v="8"/>
    </i>
    <i>
      <x v="9"/>
    </i>
    <i r="1">
      <x/>
      <x v="47"/>
    </i>
    <i r="1">
      <x v="1"/>
      <x v="35"/>
    </i>
    <i r="1">
      <x v="2"/>
      <x v="45"/>
    </i>
    <i r="1">
      <x v="3"/>
      <x/>
    </i>
    <i r="1">
      <x v="4"/>
      <x v="33"/>
    </i>
    <i r="1">
      <x v="5"/>
      <x v="34"/>
    </i>
    <i r="1">
      <x v="6"/>
      <x v="51"/>
    </i>
    <i r="1">
      <x v="7"/>
      <x v="50"/>
    </i>
    <i r="1">
      <x v="8"/>
      <x v="2"/>
    </i>
    <i r="1">
      <x v="9"/>
      <x v="39"/>
    </i>
    <i r="1">
      <x v="10"/>
      <x v="1"/>
    </i>
    <i r="1">
      <x v="11"/>
      <x v="32"/>
    </i>
    <i r="1">
      <x v="12"/>
      <x v="54"/>
    </i>
    <i r="1">
      <x v="13"/>
      <x v="52"/>
    </i>
    <i r="1">
      <x v="14"/>
      <x v="43"/>
    </i>
    <i r="2">
      <x v="46"/>
    </i>
    <i r="1">
      <x v="16"/>
      <x v="38"/>
    </i>
    <i r="1">
      <x v="17"/>
      <x v="48"/>
    </i>
    <i r="1">
      <x v="18"/>
      <x v="29"/>
    </i>
    <i r="1">
      <x v="19"/>
      <x v="49"/>
    </i>
    <i t="blank">
      <x v="9"/>
    </i>
    <i>
      <x v="10"/>
    </i>
    <i r="1">
      <x/>
      <x v="39"/>
    </i>
    <i r="1">
      <x v="1"/>
      <x v="45"/>
    </i>
    <i r="1">
      <x v="2"/>
      <x v="47"/>
    </i>
    <i r="1">
      <x v="3"/>
      <x v="33"/>
    </i>
    <i r="1">
      <x v="4"/>
      <x v="35"/>
    </i>
    <i r="1">
      <x v="5"/>
      <x v="34"/>
    </i>
    <i r="1">
      <x v="6"/>
      <x/>
    </i>
    <i r="1">
      <x v="7"/>
      <x v="1"/>
    </i>
    <i r="1">
      <x v="8"/>
      <x v="51"/>
    </i>
    <i r="1">
      <x v="9"/>
      <x v="2"/>
    </i>
    <i r="1">
      <x v="10"/>
      <x v="50"/>
    </i>
    <i r="2">
      <x v="54"/>
    </i>
    <i r="1">
      <x v="12"/>
      <x v="42"/>
    </i>
    <i r="1">
      <x v="13"/>
      <x v="43"/>
    </i>
    <i r="1">
      <x v="14"/>
      <x v="30"/>
    </i>
    <i r="2">
      <x v="52"/>
    </i>
    <i r="1">
      <x v="16"/>
      <x v="3"/>
    </i>
    <i r="2">
      <x v="29"/>
    </i>
    <i r="1">
      <x v="18"/>
      <x v="28"/>
    </i>
    <i r="2">
      <x v="48"/>
    </i>
    <i t="blank">
      <x v="10"/>
    </i>
    <i>
      <x v="11"/>
    </i>
    <i r="1">
      <x/>
      <x v="47"/>
    </i>
    <i r="1">
      <x v="1"/>
      <x v="35"/>
    </i>
    <i r="1">
      <x v="2"/>
      <x v="45"/>
    </i>
    <i r="1">
      <x v="3"/>
      <x/>
    </i>
    <i r="1">
      <x v="4"/>
      <x v="33"/>
    </i>
    <i r="1">
      <x v="5"/>
      <x v="34"/>
    </i>
    <i r="1">
      <x v="6"/>
      <x v="39"/>
    </i>
    <i r="1">
      <x v="7"/>
      <x v="1"/>
    </i>
    <i r="1">
      <x v="8"/>
      <x v="32"/>
    </i>
    <i r="1">
      <x v="9"/>
      <x v="2"/>
    </i>
    <i r="2">
      <x v="54"/>
    </i>
    <i r="1">
      <x v="11"/>
      <x v="42"/>
    </i>
    <i r="1">
      <x v="12"/>
      <x v="28"/>
    </i>
    <i r="1">
      <x v="13"/>
      <x v="43"/>
    </i>
    <i r="2">
      <x v="50"/>
    </i>
    <i r="2">
      <x v="51"/>
    </i>
    <i r="1">
      <x v="16"/>
      <x v="3"/>
    </i>
    <i r="1">
      <x v="17"/>
      <x v="46"/>
    </i>
    <i r="1">
      <x v="18"/>
      <x v="52"/>
    </i>
    <i r="1">
      <x v="19"/>
      <x v="29"/>
    </i>
    <i r="2">
      <x v="37"/>
    </i>
    <i t="blank">
      <x v="11"/>
    </i>
    <i>
      <x v="12"/>
    </i>
    <i r="1">
      <x/>
      <x v="45"/>
    </i>
    <i r="1">
      <x v="1"/>
      <x v="47"/>
    </i>
    <i r="1">
      <x v="2"/>
      <x v="35"/>
    </i>
    <i r="1">
      <x v="3"/>
      <x/>
    </i>
    <i r="1">
      <x v="4"/>
      <x v="33"/>
    </i>
    <i r="1">
      <x v="5"/>
      <x v="34"/>
    </i>
    <i r="1">
      <x v="6"/>
      <x v="32"/>
    </i>
    <i r="1">
      <x v="7"/>
      <x v="54"/>
    </i>
    <i r="1">
      <x v="8"/>
      <x v="1"/>
    </i>
    <i r="2">
      <x v="51"/>
    </i>
    <i r="1">
      <x v="10"/>
      <x v="2"/>
    </i>
    <i r="1">
      <x v="11"/>
      <x v="39"/>
    </i>
    <i r="2">
      <x v="42"/>
    </i>
    <i r="2">
      <x v="52"/>
    </i>
    <i r="1">
      <x v="14"/>
      <x v="50"/>
    </i>
    <i r="1">
      <x v="15"/>
      <x v="3"/>
    </i>
    <i r="1">
      <x v="16"/>
      <x v="29"/>
    </i>
    <i r="1">
      <x v="17"/>
      <x v="43"/>
    </i>
    <i r="1">
      <x v="18"/>
      <x v="12"/>
    </i>
    <i r="1">
      <x v="19"/>
      <x v="31"/>
    </i>
    <i t="blank">
      <x v="12"/>
    </i>
    <i>
      <x v="13"/>
    </i>
    <i r="1">
      <x/>
      <x v="45"/>
    </i>
    <i r="1">
      <x v="1"/>
      <x v="47"/>
    </i>
    <i r="1">
      <x v="2"/>
      <x/>
    </i>
    <i r="1">
      <x v="3"/>
      <x v="33"/>
    </i>
    <i r="1">
      <x v="4"/>
      <x v="35"/>
    </i>
    <i r="1">
      <x v="5"/>
      <x v="1"/>
    </i>
    <i r="1">
      <x v="6"/>
      <x v="34"/>
    </i>
    <i r="1">
      <x v="7"/>
      <x v="50"/>
    </i>
    <i r="2">
      <x v="52"/>
    </i>
    <i r="1">
      <x v="9"/>
      <x v="2"/>
    </i>
    <i r="1">
      <x v="10"/>
      <x v="39"/>
    </i>
    <i r="2">
      <x v="51"/>
    </i>
    <i r="1">
      <x v="12"/>
      <x v="54"/>
    </i>
    <i r="1">
      <x v="13"/>
      <x v="43"/>
    </i>
    <i r="1">
      <x v="14"/>
      <x v="3"/>
    </i>
    <i r="1">
      <x v="15"/>
      <x v="42"/>
    </i>
    <i r="1">
      <x v="16"/>
      <x v="30"/>
    </i>
    <i r="1">
      <x v="17"/>
      <x v="32"/>
    </i>
    <i r="1">
      <x v="18"/>
      <x v="12"/>
    </i>
    <i r="2">
      <x v="38"/>
    </i>
    <i t="blank">
      <x v="13"/>
    </i>
    <i>
      <x v="14"/>
    </i>
    <i r="1">
      <x/>
      <x v="47"/>
    </i>
    <i r="1">
      <x v="1"/>
      <x/>
    </i>
    <i r="1">
      <x v="2"/>
      <x v="45"/>
    </i>
    <i r="1">
      <x v="3"/>
      <x v="33"/>
    </i>
    <i r="1">
      <x v="4"/>
      <x v="35"/>
    </i>
    <i r="1">
      <x v="5"/>
      <x v="1"/>
    </i>
    <i r="1">
      <x v="6"/>
      <x v="2"/>
    </i>
    <i r="1">
      <x v="7"/>
      <x v="51"/>
    </i>
    <i r="1">
      <x v="8"/>
      <x v="34"/>
    </i>
    <i r="1">
      <x v="9"/>
      <x v="50"/>
    </i>
    <i r="1">
      <x v="10"/>
      <x v="39"/>
    </i>
    <i r="2">
      <x v="42"/>
    </i>
    <i r="1">
      <x v="12"/>
      <x v="32"/>
    </i>
    <i r="2">
      <x v="52"/>
    </i>
    <i r="1">
      <x v="14"/>
      <x v="3"/>
    </i>
    <i r="1">
      <x v="15"/>
      <x v="43"/>
    </i>
    <i r="2">
      <x v="48"/>
    </i>
    <i r="1">
      <x v="17"/>
      <x v="28"/>
    </i>
    <i r="1">
      <x v="18"/>
      <x v="54"/>
    </i>
    <i r="1">
      <x v="19"/>
      <x v="36"/>
    </i>
    <i t="blank">
      <x v="14"/>
    </i>
    <i>
      <x v="15"/>
    </i>
    <i r="1">
      <x/>
      <x v="33"/>
    </i>
    <i r="1">
      <x v="1"/>
      <x v="47"/>
    </i>
    <i r="1">
      <x v="2"/>
      <x/>
    </i>
    <i r="1">
      <x v="3"/>
      <x v="39"/>
    </i>
    <i r="1">
      <x v="4"/>
      <x v="35"/>
    </i>
    <i r="1">
      <x v="5"/>
      <x v="45"/>
    </i>
    <i r="1">
      <x v="6"/>
      <x v="1"/>
    </i>
    <i r="1">
      <x v="7"/>
      <x v="2"/>
    </i>
    <i r="1">
      <x v="8"/>
      <x v="43"/>
    </i>
    <i r="1">
      <x v="9"/>
      <x v="51"/>
    </i>
    <i r="1">
      <x v="10"/>
      <x v="34"/>
    </i>
    <i r="2">
      <x v="50"/>
    </i>
    <i r="1">
      <x v="12"/>
      <x v="25"/>
    </i>
    <i r="1">
      <x v="13"/>
      <x v="3"/>
    </i>
    <i r="2">
      <x v="15"/>
    </i>
    <i r="2">
      <x v="32"/>
    </i>
    <i r="2">
      <x v="46"/>
    </i>
    <i r="2">
      <x v="49"/>
    </i>
    <i r="1">
      <x v="18"/>
      <x v="28"/>
    </i>
    <i r="1">
      <x v="19"/>
      <x v="5"/>
    </i>
    <i r="2">
      <x v="29"/>
    </i>
    <i r="2">
      <x v="52"/>
    </i>
    <i r="2">
      <x v="54"/>
    </i>
    <i t="blank">
      <x v="15"/>
    </i>
    <i>
      <x v="16"/>
    </i>
    <i r="1">
      <x/>
      <x v="47"/>
    </i>
    <i r="1">
      <x v="1"/>
      <x v="35"/>
    </i>
    <i r="1">
      <x v="2"/>
      <x/>
    </i>
    <i r="1">
      <x v="3"/>
      <x v="45"/>
    </i>
    <i r="1">
      <x v="4"/>
      <x v="33"/>
    </i>
    <i r="1">
      <x v="5"/>
      <x v="34"/>
    </i>
    <i r="2">
      <x v="50"/>
    </i>
    <i r="1">
      <x v="7"/>
      <x v="1"/>
    </i>
    <i r="1">
      <x v="8"/>
      <x v="2"/>
    </i>
    <i r="1">
      <x v="9"/>
      <x v="51"/>
    </i>
    <i r="1">
      <x v="10"/>
      <x v="43"/>
    </i>
    <i r="2">
      <x v="54"/>
    </i>
    <i r="1">
      <x v="12"/>
      <x v="32"/>
    </i>
    <i r="1">
      <x v="13"/>
      <x v="39"/>
    </i>
    <i r="1">
      <x v="14"/>
      <x v="42"/>
    </i>
    <i r="1">
      <x v="15"/>
      <x v="28"/>
    </i>
    <i r="2">
      <x v="52"/>
    </i>
    <i r="1">
      <x v="17"/>
      <x v="48"/>
    </i>
    <i r="1">
      <x v="18"/>
      <x v="3"/>
    </i>
    <i r="2">
      <x v="29"/>
    </i>
    <i t="blank">
      <x v="16"/>
    </i>
    <i>
      <x v="17"/>
    </i>
    <i r="1">
      <x/>
      <x v="45"/>
    </i>
    <i r="1">
      <x v="1"/>
      <x v="47"/>
    </i>
    <i r="1">
      <x v="2"/>
      <x v="35"/>
    </i>
    <i r="1">
      <x v="3"/>
      <x/>
    </i>
    <i r="1">
      <x v="4"/>
      <x v="33"/>
    </i>
    <i r="1">
      <x v="5"/>
      <x v="44"/>
    </i>
    <i r="1">
      <x v="6"/>
      <x v="1"/>
    </i>
    <i r="2">
      <x v="34"/>
    </i>
    <i r="1">
      <x v="8"/>
      <x v="51"/>
    </i>
    <i r="1">
      <x v="9"/>
      <x v="43"/>
    </i>
    <i r="1">
      <x v="10"/>
      <x v="42"/>
    </i>
    <i r="2">
      <x v="50"/>
    </i>
    <i r="1">
      <x v="12"/>
      <x v="32"/>
    </i>
    <i r="2">
      <x v="54"/>
    </i>
    <i r="1">
      <x v="14"/>
      <x v="3"/>
    </i>
    <i r="1">
      <x v="15"/>
      <x v="28"/>
    </i>
    <i r="1">
      <x v="16"/>
      <x v="39"/>
    </i>
    <i r="1">
      <x v="17"/>
      <x v="29"/>
    </i>
    <i r="2">
      <x v="46"/>
    </i>
    <i r="2">
      <x v="48"/>
    </i>
    <i t="blank">
      <x v="17"/>
    </i>
    <i>
      <x v="18"/>
    </i>
    <i r="1">
      <x/>
      <x v="47"/>
    </i>
    <i r="1">
      <x v="1"/>
      <x v="33"/>
    </i>
    <i r="1">
      <x v="2"/>
      <x v="45"/>
    </i>
    <i r="1">
      <x v="3"/>
      <x v="35"/>
    </i>
    <i r="1">
      <x v="4"/>
      <x/>
    </i>
    <i r="1">
      <x v="5"/>
      <x v="39"/>
    </i>
    <i r="1">
      <x v="6"/>
      <x v="34"/>
    </i>
    <i r="1">
      <x v="7"/>
      <x v="1"/>
    </i>
    <i r="1">
      <x v="8"/>
      <x v="51"/>
    </i>
    <i r="1">
      <x v="9"/>
      <x v="2"/>
    </i>
    <i r="1">
      <x v="10"/>
      <x v="50"/>
    </i>
    <i r="1">
      <x v="11"/>
      <x v="3"/>
    </i>
    <i r="1">
      <x v="12"/>
      <x v="32"/>
    </i>
    <i r="1">
      <x v="13"/>
      <x v="58"/>
    </i>
    <i r="1">
      <x v="14"/>
      <x v="44"/>
    </i>
    <i r="1">
      <x v="15"/>
      <x v="43"/>
    </i>
    <i r="1">
      <x v="16"/>
      <x v="42"/>
    </i>
    <i r="1">
      <x v="17"/>
      <x v="52"/>
    </i>
    <i r="1">
      <x v="18"/>
      <x v="29"/>
    </i>
    <i r="2">
      <x v="54"/>
    </i>
    <i t="blank">
      <x v="18"/>
    </i>
    <i>
      <x v="19"/>
    </i>
    <i r="1">
      <x/>
      <x v="47"/>
    </i>
    <i r="1">
      <x v="1"/>
      <x/>
    </i>
    <i r="2">
      <x v="45"/>
    </i>
    <i r="1">
      <x v="3"/>
      <x v="35"/>
    </i>
    <i r="2">
      <x v="50"/>
    </i>
    <i r="1">
      <x v="5"/>
      <x v="1"/>
    </i>
    <i r="2">
      <x v="33"/>
    </i>
    <i r="1">
      <x v="7"/>
      <x v="2"/>
    </i>
    <i r="1">
      <x v="8"/>
      <x v="51"/>
    </i>
    <i r="1">
      <x v="9"/>
      <x v="39"/>
    </i>
    <i r="1">
      <x v="10"/>
      <x v="34"/>
    </i>
    <i r="1">
      <x v="11"/>
      <x v="52"/>
    </i>
    <i r="1">
      <x v="12"/>
      <x v="42"/>
    </i>
    <i r="1">
      <x v="13"/>
      <x v="36"/>
    </i>
    <i r="2">
      <x v="43"/>
    </i>
    <i r="1">
      <x v="15"/>
      <x v="28"/>
    </i>
    <i r="2">
      <x v="38"/>
    </i>
    <i r="1">
      <x v="17"/>
      <x v="32"/>
    </i>
    <i r="2">
      <x v="54"/>
    </i>
    <i r="1">
      <x v="19"/>
      <x v="30"/>
    </i>
    <i r="2">
      <x v="57"/>
    </i>
    <i t="blank">
      <x v="19"/>
    </i>
    <i>
      <x v="20"/>
    </i>
    <i r="1">
      <x/>
      <x/>
    </i>
    <i r="2">
      <x v="47"/>
    </i>
    <i r="1">
      <x v="2"/>
      <x v="35"/>
    </i>
    <i r="1">
      <x v="3"/>
      <x v="1"/>
    </i>
    <i r="1">
      <x v="4"/>
      <x v="33"/>
    </i>
    <i r="1">
      <x v="5"/>
      <x v="45"/>
    </i>
    <i r="1">
      <x v="6"/>
      <x v="34"/>
    </i>
    <i r="1">
      <x v="7"/>
      <x v="2"/>
    </i>
    <i r="1">
      <x v="8"/>
      <x v="51"/>
    </i>
    <i r="2">
      <x v="54"/>
    </i>
    <i r="1">
      <x v="10"/>
      <x v="28"/>
    </i>
    <i r="2">
      <x v="46"/>
    </i>
    <i r="1">
      <x v="12"/>
      <x v="3"/>
    </i>
    <i r="2">
      <x v="4"/>
    </i>
    <i r="2">
      <x v="6"/>
    </i>
    <i r="2">
      <x v="11"/>
    </i>
    <i r="2">
      <x v="43"/>
    </i>
    <i r="2">
      <x v="50"/>
    </i>
    <i r="1">
      <x v="18"/>
      <x v="42"/>
    </i>
    <i r="1">
      <x v="19"/>
      <x v="7"/>
    </i>
    <i r="2">
      <x v="12"/>
    </i>
    <i r="2">
      <x v="17"/>
    </i>
    <i r="2">
      <x v="18"/>
    </i>
    <i r="2">
      <x v="24"/>
    </i>
    <i r="2">
      <x v="32"/>
    </i>
    <i r="2">
      <x v="39"/>
    </i>
    <i r="2">
      <x v="44"/>
    </i>
    <i r="2">
      <x v="48"/>
    </i>
    <i r="2">
      <x v="52"/>
    </i>
    <i t="blank">
      <x v="20"/>
    </i>
    <i>
      <x v="21"/>
    </i>
    <i r="1">
      <x/>
      <x/>
    </i>
    <i r="1">
      <x v="1"/>
      <x v="47"/>
    </i>
    <i r="1">
      <x v="2"/>
      <x v="35"/>
    </i>
    <i r="1">
      <x v="3"/>
      <x v="33"/>
    </i>
    <i r="1">
      <x v="4"/>
      <x v="51"/>
    </i>
    <i r="1">
      <x v="5"/>
      <x v="54"/>
    </i>
    <i r="1">
      <x v="6"/>
      <x v="1"/>
    </i>
    <i r="2">
      <x v="39"/>
    </i>
    <i r="2">
      <x v="45"/>
    </i>
    <i r="1">
      <x v="9"/>
      <x v="34"/>
    </i>
    <i r="1">
      <x v="10"/>
      <x v="2"/>
    </i>
    <i r="2">
      <x v="3"/>
    </i>
    <i r="2">
      <x v="28"/>
    </i>
    <i r="2">
      <x v="36"/>
    </i>
    <i r="2">
      <x v="42"/>
    </i>
    <i r="2">
      <x v="50"/>
    </i>
    <i r="2">
      <x v="57"/>
    </i>
    <i r="1">
      <x v="17"/>
      <x v="9"/>
    </i>
    <i r="2">
      <x v="11"/>
    </i>
    <i r="2">
      <x v="12"/>
    </i>
    <i r="2">
      <x v="17"/>
    </i>
    <i r="2">
      <x v="18"/>
    </i>
    <i r="2">
      <x v="20"/>
    </i>
    <i r="2">
      <x v="24"/>
    </i>
    <i r="2">
      <x v="31"/>
    </i>
    <i r="2">
      <x v="38"/>
    </i>
    <i r="2">
      <x v="40"/>
    </i>
    <i r="2">
      <x v="43"/>
    </i>
    <i r="2">
      <x v="53"/>
    </i>
    <i t="blank">
      <x v="21"/>
    </i>
    <i>
      <x v="22"/>
    </i>
    <i r="1">
      <x/>
      <x v="35"/>
    </i>
    <i r="1">
      <x v="1"/>
      <x/>
    </i>
    <i r="2">
      <x v="33"/>
    </i>
    <i r="1">
      <x v="3"/>
      <x v="1"/>
    </i>
    <i r="1">
      <x v="4"/>
      <x v="47"/>
    </i>
    <i r="1">
      <x v="5"/>
      <x v="45"/>
    </i>
    <i r="1">
      <x v="6"/>
      <x v="34"/>
    </i>
    <i r="1">
      <x v="7"/>
      <x v="51"/>
    </i>
    <i r="1">
      <x v="8"/>
      <x v="3"/>
    </i>
    <i r="1">
      <x v="9"/>
      <x v="11"/>
    </i>
    <i r="1">
      <x v="10"/>
      <x v="2"/>
    </i>
    <i r="2">
      <x v="13"/>
    </i>
    <i r="2">
      <x v="29"/>
    </i>
    <i r="2">
      <x v="54"/>
    </i>
    <i r="1">
      <x v="14"/>
      <x v="12"/>
    </i>
    <i r="2">
      <x v="50"/>
    </i>
    <i r="1">
      <x v="16"/>
      <x v="32"/>
    </i>
    <i r="2">
      <x v="39"/>
    </i>
    <i r="2">
      <x v="48"/>
    </i>
    <i r="1">
      <x v="19"/>
      <x v="6"/>
    </i>
    <i r="2">
      <x v="17"/>
    </i>
    <i r="2">
      <x v="31"/>
    </i>
    <i r="2">
      <x v="43"/>
    </i>
    <i r="2">
      <x v="56"/>
    </i>
    <i t="blank">
      <x v="22"/>
    </i>
    <i>
      <x v="23"/>
    </i>
    <i r="1">
      <x/>
      <x v="47"/>
    </i>
    <i r="1">
      <x v="1"/>
      <x v="35"/>
    </i>
    <i r="1">
      <x v="2"/>
      <x/>
    </i>
    <i r="2">
      <x v="33"/>
    </i>
    <i r="1">
      <x v="4"/>
      <x v="2"/>
    </i>
    <i r="2">
      <x v="45"/>
    </i>
    <i r="1">
      <x v="6"/>
      <x v="1"/>
    </i>
    <i r="2">
      <x v="34"/>
    </i>
    <i r="1">
      <x v="8"/>
      <x v="39"/>
    </i>
    <i r="1">
      <x v="9"/>
      <x v="50"/>
    </i>
    <i r="1">
      <x v="10"/>
      <x v="38"/>
    </i>
    <i r="1">
      <x v="11"/>
      <x v="12"/>
    </i>
    <i r="2">
      <x v="29"/>
    </i>
    <i r="2">
      <x v="51"/>
    </i>
    <i r="1">
      <x v="14"/>
      <x v="5"/>
    </i>
    <i r="2">
      <x v="52"/>
    </i>
    <i r="1">
      <x v="16"/>
      <x v="3"/>
    </i>
    <i r="2">
      <x v="17"/>
    </i>
    <i r="2">
      <x v="30"/>
    </i>
    <i r="2">
      <x v="31"/>
    </i>
    <i r="2">
      <x v="32"/>
    </i>
    <i r="2">
      <x v="42"/>
    </i>
    <i r="2">
      <x v="48"/>
    </i>
    <i r="2">
      <x v="54"/>
    </i>
    <i t="blank">
      <x v="23"/>
    </i>
    <i>
      <x v="24"/>
    </i>
    <i r="1">
      <x/>
      <x v="33"/>
    </i>
    <i r="1">
      <x v="1"/>
      <x/>
    </i>
    <i r="1">
      <x v="2"/>
      <x v="35"/>
    </i>
    <i r="1">
      <x v="3"/>
      <x v="54"/>
    </i>
    <i r="1">
      <x v="4"/>
      <x v="47"/>
    </i>
    <i r="1">
      <x v="5"/>
      <x v="45"/>
    </i>
    <i r="1">
      <x v="6"/>
      <x v="2"/>
    </i>
    <i r="1">
      <x v="7"/>
      <x v="1"/>
    </i>
    <i r="2">
      <x v="34"/>
    </i>
    <i r="2">
      <x v="50"/>
    </i>
    <i r="1">
      <x v="10"/>
      <x v="3"/>
    </i>
    <i r="2">
      <x v="52"/>
    </i>
    <i r="1">
      <x v="12"/>
      <x v="39"/>
    </i>
    <i r="2">
      <x v="42"/>
    </i>
    <i r="2">
      <x v="51"/>
    </i>
    <i r="1">
      <x v="15"/>
      <x v="6"/>
    </i>
    <i r="2">
      <x v="46"/>
    </i>
    <i r="1">
      <x v="17"/>
      <x v="28"/>
    </i>
    <i r="2">
      <x v="30"/>
    </i>
    <i r="2">
      <x v="36"/>
    </i>
    <i r="2">
      <x v="43"/>
    </i>
    <i t="blank">
      <x v="24"/>
    </i>
    <i>
      <x v="25"/>
    </i>
    <i r="1">
      <x/>
      <x v="47"/>
    </i>
    <i r="1">
      <x v="1"/>
      <x v="45"/>
    </i>
    <i r="1">
      <x v="2"/>
      <x v="35"/>
    </i>
    <i r="1">
      <x v="3"/>
      <x/>
    </i>
    <i r="1">
      <x v="4"/>
      <x v="39"/>
    </i>
    <i r="1">
      <x v="5"/>
      <x v="33"/>
    </i>
    <i r="1">
      <x v="6"/>
      <x v="50"/>
    </i>
    <i r="1">
      <x v="7"/>
      <x v="34"/>
    </i>
    <i r="1">
      <x v="8"/>
      <x v="2"/>
    </i>
    <i r="1">
      <x v="9"/>
      <x v="1"/>
    </i>
    <i r="2">
      <x v="43"/>
    </i>
    <i r="1">
      <x v="11"/>
      <x v="42"/>
    </i>
    <i r="1">
      <x v="12"/>
      <x v="54"/>
    </i>
    <i r="1">
      <x v="13"/>
      <x v="51"/>
    </i>
    <i r="1">
      <x v="14"/>
      <x v="3"/>
    </i>
    <i r="1">
      <x v="15"/>
      <x v="24"/>
    </i>
    <i r="2">
      <x v="30"/>
    </i>
    <i r="2">
      <x v="32"/>
    </i>
    <i r="2">
      <x v="48"/>
    </i>
    <i r="1">
      <x v="19"/>
      <x v="29"/>
    </i>
    <i t="blank">
      <x v="25"/>
    </i>
    <i>
      <x v="26"/>
    </i>
    <i r="1">
      <x/>
      <x v="47"/>
    </i>
    <i r="1">
      <x v="1"/>
      <x v="35"/>
    </i>
    <i r="1">
      <x v="2"/>
      <x v="45"/>
    </i>
    <i r="1">
      <x v="3"/>
      <x/>
    </i>
    <i r="1">
      <x v="4"/>
      <x v="1"/>
    </i>
    <i r="1">
      <x v="5"/>
      <x v="32"/>
    </i>
    <i r="1">
      <x v="6"/>
      <x v="2"/>
    </i>
    <i r="1">
      <x v="7"/>
      <x v="34"/>
    </i>
    <i r="2">
      <x v="50"/>
    </i>
    <i r="1">
      <x v="9"/>
      <x v="39"/>
    </i>
    <i r="2">
      <x v="51"/>
    </i>
    <i r="1">
      <x v="11"/>
      <x v="33"/>
    </i>
    <i r="1">
      <x v="12"/>
      <x v="42"/>
    </i>
    <i r="1">
      <x v="13"/>
      <x v="30"/>
    </i>
    <i r="1">
      <x v="14"/>
      <x v="43"/>
    </i>
    <i r="1">
      <x v="15"/>
      <x v="31"/>
    </i>
    <i r="2">
      <x v="38"/>
    </i>
    <i r="2">
      <x v="52"/>
    </i>
    <i r="1">
      <x v="18"/>
      <x v="54"/>
    </i>
    <i r="1">
      <x v="19"/>
      <x v="29"/>
    </i>
    <i r="2">
      <x v="48"/>
    </i>
    <i t="blank">
      <x v="26"/>
    </i>
    <i>
      <x v="27"/>
    </i>
    <i r="1">
      <x/>
      <x v="45"/>
    </i>
    <i r="1">
      <x v="1"/>
      <x v="33"/>
    </i>
    <i r="1">
      <x v="2"/>
      <x v="35"/>
    </i>
    <i r="2">
      <x v="44"/>
    </i>
    <i r="1">
      <x v="4"/>
      <x/>
    </i>
    <i r="1">
      <x v="5"/>
      <x v="1"/>
    </i>
    <i r="2">
      <x v="47"/>
    </i>
    <i r="1">
      <x v="7"/>
      <x v="6"/>
    </i>
    <i r="2">
      <x v="39"/>
    </i>
    <i r="1">
      <x v="9"/>
      <x v="2"/>
    </i>
    <i r="2">
      <x v="34"/>
    </i>
    <i r="1">
      <x v="11"/>
      <x v="54"/>
    </i>
    <i r="1">
      <x v="12"/>
      <x v="3"/>
    </i>
    <i r="2">
      <x v="18"/>
    </i>
    <i r="2">
      <x v="28"/>
    </i>
    <i r="2">
      <x v="32"/>
    </i>
    <i r="2">
      <x v="48"/>
    </i>
    <i r="2">
      <x v="53"/>
    </i>
    <i r="1">
      <x v="18"/>
      <x v="5"/>
    </i>
    <i r="2">
      <x v="7"/>
    </i>
    <i r="2">
      <x v="8"/>
    </i>
    <i r="2">
      <x v="11"/>
    </i>
    <i r="2">
      <x v="19"/>
    </i>
    <i r="2">
      <x v="27"/>
    </i>
    <i r="2">
      <x v="38"/>
    </i>
    <i r="2">
      <x v="40"/>
    </i>
    <i r="2">
      <x v="43"/>
    </i>
    <i r="2">
      <x v="49"/>
    </i>
    <i r="2">
      <x v="50"/>
    </i>
    <i r="2">
      <x v="51"/>
    </i>
    <i r="2">
      <x v="52"/>
    </i>
    <i r="2">
      <x v="56"/>
    </i>
    <i t="blank">
      <x v="27"/>
    </i>
    <i>
      <x v="28"/>
    </i>
    <i r="1">
      <x/>
      <x v="45"/>
    </i>
    <i r="1">
      <x v="1"/>
      <x v="35"/>
    </i>
    <i r="2">
      <x v="47"/>
    </i>
    <i r="1">
      <x v="3"/>
      <x/>
    </i>
    <i r="1">
      <x v="4"/>
      <x v="33"/>
    </i>
    <i r="1">
      <x v="5"/>
      <x v="39"/>
    </i>
    <i r="1">
      <x v="6"/>
      <x v="44"/>
    </i>
    <i r="1">
      <x v="7"/>
      <x v="1"/>
    </i>
    <i r="1">
      <x v="8"/>
      <x v="34"/>
    </i>
    <i r="1">
      <x v="9"/>
      <x v="2"/>
    </i>
    <i r="1">
      <x v="10"/>
      <x v="3"/>
    </i>
    <i r="2">
      <x v="6"/>
    </i>
    <i r="2">
      <x v="28"/>
    </i>
    <i r="1">
      <x v="13"/>
      <x v="7"/>
    </i>
    <i r="2">
      <x v="51"/>
    </i>
    <i r="1">
      <x v="15"/>
      <x v="48"/>
    </i>
    <i r="1">
      <x v="16"/>
      <x v="50"/>
    </i>
    <i r="1">
      <x v="17"/>
      <x v="24"/>
    </i>
    <i r="2">
      <x v="32"/>
    </i>
    <i r="2">
      <x v="42"/>
    </i>
    <i r="2">
      <x v="43"/>
    </i>
    <i r="2">
      <x v="54"/>
    </i>
    <i r="2">
      <x v="57"/>
    </i>
    <i t="blank">
      <x v="28"/>
    </i>
    <i>
      <x v="29"/>
    </i>
    <i r="1">
      <x/>
      <x v="33"/>
    </i>
    <i r="1">
      <x v="1"/>
      <x/>
    </i>
    <i r="2">
      <x v="35"/>
    </i>
    <i r="2">
      <x v="44"/>
    </i>
    <i r="1">
      <x v="4"/>
      <x v="52"/>
    </i>
    <i r="1">
      <x v="5"/>
      <x v="43"/>
    </i>
    <i r="2">
      <x v="45"/>
    </i>
    <i r="2">
      <x v="54"/>
    </i>
    <i r="1">
      <x v="8"/>
      <x v="3"/>
    </i>
    <i r="1">
      <x v="9"/>
      <x v="1"/>
    </i>
    <i r="2">
      <x v="4"/>
    </i>
    <i r="2">
      <x v="17"/>
    </i>
    <i r="2">
      <x v="22"/>
    </i>
    <i r="2">
      <x v="28"/>
    </i>
    <i r="2">
      <x v="29"/>
    </i>
    <i r="2">
      <x v="46"/>
    </i>
    <i r="2">
      <x v="47"/>
    </i>
    <i r="2">
      <x v="51"/>
    </i>
    <i r="2">
      <x v="57"/>
    </i>
    <i t="blank">
      <x v="29"/>
    </i>
    <i>
      <x v="30"/>
    </i>
    <i r="1">
      <x/>
      <x v="45"/>
    </i>
    <i r="1">
      <x v="1"/>
      <x/>
    </i>
    <i r="2">
      <x v="33"/>
    </i>
    <i r="1">
      <x v="3"/>
      <x v="35"/>
    </i>
    <i r="1">
      <x v="4"/>
      <x v="47"/>
    </i>
    <i r="1">
      <x v="5"/>
      <x v="44"/>
    </i>
    <i r="1">
      <x v="6"/>
      <x v="1"/>
    </i>
    <i r="2">
      <x v="3"/>
    </i>
    <i r="1">
      <x v="8"/>
      <x v="39"/>
    </i>
    <i r="2">
      <x v="50"/>
    </i>
    <i r="1">
      <x v="10"/>
      <x v="2"/>
    </i>
    <i r="2">
      <x v="32"/>
    </i>
    <i r="2">
      <x v="34"/>
    </i>
    <i r="2">
      <x v="42"/>
    </i>
    <i r="2">
      <x v="43"/>
    </i>
    <i r="2">
      <x v="51"/>
    </i>
    <i r="2">
      <x v="52"/>
    </i>
    <i r="2">
      <x v="54"/>
    </i>
    <i r="1">
      <x v="18"/>
      <x v="6"/>
    </i>
    <i r="2">
      <x v="28"/>
    </i>
    <i r="2">
      <x v="48"/>
    </i>
    <i t="blank">
      <x v="30"/>
    </i>
    <i>
      <x v="31"/>
    </i>
    <i r="1">
      <x/>
      <x v="45"/>
    </i>
    <i r="1">
      <x v="1"/>
      <x/>
    </i>
    <i r="1">
      <x v="2"/>
      <x v="35"/>
    </i>
    <i r="1">
      <x v="3"/>
      <x v="47"/>
    </i>
    <i r="1">
      <x v="4"/>
      <x v="1"/>
    </i>
    <i r="1">
      <x v="5"/>
      <x v="33"/>
    </i>
    <i r="1">
      <x v="6"/>
      <x v="34"/>
    </i>
    <i r="1">
      <x v="7"/>
      <x v="3"/>
    </i>
    <i r="2">
      <x v="7"/>
    </i>
    <i r="2">
      <x v="12"/>
    </i>
    <i r="1">
      <x v="10"/>
      <x v="28"/>
    </i>
    <i r="2">
      <x v="32"/>
    </i>
    <i r="2">
      <x v="42"/>
    </i>
    <i r="1">
      <x v="13"/>
      <x v="2"/>
    </i>
    <i r="2">
      <x v="44"/>
    </i>
    <i r="2">
      <x v="50"/>
    </i>
    <i r="2">
      <x v="54"/>
    </i>
    <i r="2">
      <x v="57"/>
    </i>
    <i r="1">
      <x v="18"/>
      <x v="6"/>
    </i>
    <i r="2">
      <x v="11"/>
    </i>
    <i r="2">
      <x v="16"/>
    </i>
    <i r="2">
      <x v="30"/>
    </i>
    <i r="2">
      <x v="39"/>
    </i>
    <i r="2">
      <x v="40"/>
    </i>
    <i r="2">
      <x v="46"/>
    </i>
    <i r="2">
      <x v="55"/>
    </i>
    <i t="blank">
      <x v="31"/>
    </i>
    <i>
      <x v="32"/>
    </i>
    <i r="1">
      <x/>
      <x v="45"/>
    </i>
    <i r="1">
      <x v="1"/>
      <x/>
    </i>
    <i r="1">
      <x v="2"/>
      <x v="33"/>
    </i>
    <i r="1">
      <x v="3"/>
      <x v="47"/>
    </i>
    <i r="1">
      <x v="4"/>
      <x v="35"/>
    </i>
    <i r="2">
      <x v="44"/>
    </i>
    <i r="1">
      <x v="6"/>
      <x v="34"/>
    </i>
    <i r="2">
      <x v="39"/>
    </i>
    <i r="1">
      <x v="8"/>
      <x v="50"/>
    </i>
    <i r="2">
      <x v="54"/>
    </i>
    <i r="1">
      <x v="10"/>
      <x v="32"/>
    </i>
    <i r="2">
      <x v="51"/>
    </i>
    <i r="1">
      <x v="12"/>
      <x v="3"/>
    </i>
    <i r="2">
      <x v="42"/>
    </i>
    <i r="1">
      <x v="14"/>
      <x v="1"/>
    </i>
    <i r="2">
      <x v="28"/>
    </i>
    <i r="1">
      <x v="16"/>
      <x v="6"/>
    </i>
    <i r="2">
      <x v="20"/>
    </i>
    <i r="2">
      <x v="43"/>
    </i>
    <i r="2">
      <x v="49"/>
    </i>
    <i t="blank">
      <x v="32"/>
    </i>
    <i>
      <x v="33"/>
    </i>
    <i r="1">
      <x/>
      <x/>
    </i>
    <i r="1">
      <x v="1"/>
      <x v="47"/>
    </i>
    <i r="1">
      <x v="2"/>
      <x v="1"/>
    </i>
    <i r="1">
      <x v="3"/>
      <x v="33"/>
    </i>
    <i r="1">
      <x v="4"/>
      <x v="35"/>
    </i>
    <i r="1">
      <x v="5"/>
      <x v="34"/>
    </i>
    <i r="1">
      <x v="6"/>
      <x v="45"/>
    </i>
    <i r="1">
      <x v="7"/>
      <x v="2"/>
    </i>
    <i r="1">
      <x v="8"/>
      <x v="54"/>
    </i>
    <i r="1">
      <x v="9"/>
      <x v="29"/>
    </i>
    <i r="2">
      <x v="39"/>
    </i>
    <i r="2">
      <x v="51"/>
    </i>
    <i r="1">
      <x v="12"/>
      <x v="52"/>
    </i>
    <i r="1">
      <x v="13"/>
      <x v="38"/>
    </i>
    <i r="2">
      <x v="42"/>
    </i>
    <i r="2">
      <x v="46"/>
    </i>
    <i r="2">
      <x v="50"/>
    </i>
    <i r="1">
      <x v="17"/>
      <x v="3"/>
    </i>
    <i r="2">
      <x v="24"/>
    </i>
    <i r="2">
      <x v="43"/>
    </i>
    <i t="blank">
      <x v="33"/>
    </i>
    <i>
      <x v="34"/>
    </i>
    <i r="1">
      <x/>
      <x v="32"/>
    </i>
    <i r="1">
      <x v="1"/>
      <x v="35"/>
    </i>
    <i r="1">
      <x v="2"/>
      <x v="39"/>
    </i>
    <i r="1">
      <x v="3"/>
      <x/>
    </i>
    <i r="1">
      <x v="4"/>
      <x v="34"/>
    </i>
    <i r="2">
      <x v="47"/>
    </i>
    <i r="1">
      <x v="6"/>
      <x v="1"/>
    </i>
    <i r="2">
      <x v="33"/>
    </i>
    <i r="1">
      <x v="8"/>
      <x v="45"/>
    </i>
    <i r="1">
      <x v="9"/>
      <x v="2"/>
    </i>
    <i r="2">
      <x v="29"/>
    </i>
    <i r="1">
      <x v="11"/>
      <x v="52"/>
    </i>
    <i r="1">
      <x v="12"/>
      <x v="38"/>
    </i>
    <i r="2">
      <x v="42"/>
    </i>
    <i r="2">
      <x v="48"/>
    </i>
    <i r="1">
      <x v="15"/>
      <x v="50"/>
    </i>
    <i r="1">
      <x v="16"/>
      <x v="3"/>
    </i>
    <i r="2">
      <x v="28"/>
    </i>
    <i r="2">
      <x v="36"/>
    </i>
    <i r="2">
      <x v="40"/>
    </i>
    <i r="2">
      <x v="43"/>
    </i>
    <i r="2">
      <x v="54"/>
    </i>
    <i r="2">
      <x v="57"/>
    </i>
    <i t="blank">
      <x v="34"/>
    </i>
    <i>
      <x v="35"/>
    </i>
    <i r="1">
      <x/>
      <x/>
    </i>
    <i r="1">
      <x v="1"/>
      <x v="1"/>
    </i>
    <i r="1">
      <x v="2"/>
      <x v="47"/>
    </i>
    <i r="1">
      <x v="3"/>
      <x v="35"/>
    </i>
    <i r="1">
      <x v="4"/>
      <x v="2"/>
    </i>
    <i r="1">
      <x v="5"/>
      <x v="39"/>
    </i>
    <i r="1">
      <x v="6"/>
      <x v="34"/>
    </i>
    <i r="1">
      <x v="7"/>
      <x v="42"/>
    </i>
    <i r="2">
      <x v="50"/>
    </i>
    <i r="1">
      <x v="9"/>
      <x v="45"/>
    </i>
    <i r="1">
      <x v="10"/>
      <x v="51"/>
    </i>
    <i r="1">
      <x v="11"/>
      <x v="54"/>
    </i>
    <i r="1">
      <x v="12"/>
      <x v="33"/>
    </i>
    <i r="1">
      <x v="13"/>
      <x v="30"/>
    </i>
    <i r="2">
      <x v="38"/>
    </i>
    <i r="1">
      <x v="15"/>
      <x v="31"/>
    </i>
    <i r="2">
      <x v="48"/>
    </i>
    <i r="1">
      <x v="17"/>
      <x v="36"/>
    </i>
    <i r="2">
      <x v="43"/>
    </i>
    <i r="1">
      <x v="19"/>
      <x v="29"/>
    </i>
    <i r="2">
      <x v="52"/>
    </i>
    <i r="2">
      <x v="57"/>
    </i>
    <i t="blank">
      <x v="35"/>
    </i>
    <i>
      <x v="36"/>
    </i>
    <i r="1">
      <x/>
      <x v="47"/>
    </i>
    <i r="1">
      <x v="1"/>
      <x/>
    </i>
    <i r="2">
      <x v="1"/>
    </i>
    <i r="1">
      <x v="3"/>
      <x v="35"/>
    </i>
    <i r="1">
      <x v="4"/>
      <x v="33"/>
    </i>
    <i r="1">
      <x v="5"/>
      <x v="2"/>
    </i>
    <i r="2">
      <x v="34"/>
    </i>
    <i r="2">
      <x v="45"/>
    </i>
    <i r="1">
      <x v="8"/>
      <x v="39"/>
    </i>
    <i r="2">
      <x v="52"/>
    </i>
    <i r="2">
      <x v="54"/>
    </i>
    <i r="1">
      <x v="11"/>
      <x v="12"/>
    </i>
    <i r="2">
      <x v="29"/>
    </i>
    <i r="1">
      <x v="13"/>
      <x v="28"/>
    </i>
    <i r="1">
      <x v="14"/>
      <x v="3"/>
    </i>
    <i r="2">
      <x v="31"/>
    </i>
    <i r="2">
      <x v="43"/>
    </i>
    <i r="1">
      <x v="17"/>
      <x v="7"/>
    </i>
    <i r="2">
      <x v="48"/>
    </i>
    <i r="2">
      <x v="50"/>
    </i>
    <i r="2">
      <x v="55"/>
    </i>
    <i r="2">
      <x v="57"/>
    </i>
    <i t="blank">
      <x v="36"/>
    </i>
    <i>
      <x v="37"/>
    </i>
    <i r="1">
      <x/>
      <x v="45"/>
    </i>
    <i r="1">
      <x v="1"/>
      <x v="33"/>
    </i>
    <i r="1">
      <x v="2"/>
      <x v="47"/>
    </i>
    <i r="1">
      <x v="3"/>
      <x v="35"/>
    </i>
    <i r="1">
      <x v="4"/>
      <x/>
    </i>
    <i r="1">
      <x v="5"/>
      <x v="34"/>
    </i>
    <i r="1">
      <x v="6"/>
      <x v="52"/>
    </i>
    <i r="1">
      <x v="7"/>
      <x v="39"/>
    </i>
    <i r="1">
      <x v="8"/>
      <x v="1"/>
    </i>
    <i r="1">
      <x v="9"/>
      <x v="3"/>
    </i>
    <i r="2">
      <x v="42"/>
    </i>
    <i r="2">
      <x v="43"/>
    </i>
    <i r="1">
      <x v="12"/>
      <x v="2"/>
    </i>
    <i r="2">
      <x v="28"/>
    </i>
    <i r="2">
      <x v="29"/>
    </i>
    <i r="2">
      <x v="54"/>
    </i>
    <i r="1">
      <x v="16"/>
      <x v="44"/>
    </i>
    <i r="1">
      <x v="17"/>
      <x v="48"/>
    </i>
    <i r="1">
      <x v="18"/>
      <x v="6"/>
    </i>
    <i r="2">
      <x v="23"/>
    </i>
    <i r="2">
      <x v="50"/>
    </i>
    <i r="2">
      <x v="51"/>
    </i>
    <i t="blank">
      <x v="37"/>
    </i>
    <i>
      <x v="38"/>
    </i>
    <i r="1">
      <x/>
      <x/>
    </i>
    <i r="1">
      <x v="1"/>
      <x v="47"/>
    </i>
    <i r="1">
      <x v="2"/>
      <x v="35"/>
    </i>
    <i r="1">
      <x v="3"/>
      <x v="45"/>
    </i>
    <i r="1">
      <x v="4"/>
      <x v="33"/>
    </i>
    <i r="1">
      <x v="5"/>
      <x v="2"/>
    </i>
    <i r="2">
      <x v="50"/>
    </i>
    <i r="2">
      <x v="51"/>
    </i>
    <i r="2">
      <x v="52"/>
    </i>
    <i r="1">
      <x v="9"/>
      <x v="34"/>
    </i>
    <i r="2">
      <x v="54"/>
    </i>
    <i r="1">
      <x v="11"/>
      <x v="3"/>
    </i>
    <i r="1">
      <x v="12"/>
      <x v="1"/>
    </i>
    <i r="1">
      <x v="13"/>
      <x v="28"/>
    </i>
    <i r="2">
      <x v="39"/>
    </i>
    <i r="1">
      <x v="15"/>
      <x v="31"/>
    </i>
    <i r="2">
      <x v="43"/>
    </i>
    <i r="1">
      <x v="17"/>
      <x v="16"/>
    </i>
    <i r="2">
      <x v="55"/>
    </i>
    <i r="1">
      <x v="19"/>
      <x v="7"/>
    </i>
    <i r="2">
      <x v="29"/>
    </i>
    <i r="2">
      <x v="32"/>
    </i>
    <i r="2">
      <x v="57"/>
    </i>
    <i t="blank">
      <x v="38"/>
    </i>
    <i>
      <x v="39"/>
    </i>
    <i r="1">
      <x/>
      <x v="47"/>
    </i>
    <i r="1">
      <x v="1"/>
      <x v="35"/>
    </i>
    <i r="1">
      <x v="2"/>
      <x v="33"/>
    </i>
    <i r="1">
      <x v="3"/>
      <x/>
    </i>
    <i r="2">
      <x v="45"/>
    </i>
    <i r="1">
      <x v="5"/>
      <x v="2"/>
    </i>
    <i r="1">
      <x v="6"/>
      <x v="34"/>
    </i>
    <i r="1">
      <x v="7"/>
      <x v="1"/>
    </i>
    <i r="2">
      <x v="52"/>
    </i>
    <i r="2">
      <x v="54"/>
    </i>
    <i r="1">
      <x v="10"/>
      <x v="51"/>
    </i>
    <i r="1">
      <x v="11"/>
      <x v="32"/>
    </i>
    <i r="1">
      <x v="12"/>
      <x v="39"/>
    </i>
    <i r="1">
      <x v="13"/>
      <x v="50"/>
    </i>
    <i r="1">
      <x v="14"/>
      <x v="3"/>
    </i>
    <i r="2">
      <x v="16"/>
    </i>
    <i r="2">
      <x v="29"/>
    </i>
    <i r="2">
      <x v="44"/>
    </i>
    <i r="1">
      <x v="18"/>
      <x v="4"/>
    </i>
    <i r="2">
      <x v="20"/>
    </i>
    <i t="blank">
      <x v="39"/>
    </i>
    <i>
      <x v="40"/>
    </i>
    <i r="1">
      <x/>
      <x v="47"/>
    </i>
    <i r="1">
      <x v="1"/>
      <x v="33"/>
    </i>
    <i r="1">
      <x v="2"/>
      <x/>
    </i>
    <i r="2">
      <x v="2"/>
    </i>
    <i r="2">
      <x v="11"/>
    </i>
    <i r="2">
      <x v="34"/>
    </i>
    <i r="1">
      <x v="6"/>
      <x v="45"/>
    </i>
    <i r="2">
      <x v="51"/>
    </i>
    <i r="1">
      <x v="8"/>
      <x v="54"/>
    </i>
    <i r="1">
      <x v="9"/>
      <x v="1"/>
    </i>
    <i r="2">
      <x v="3"/>
    </i>
    <i r="2">
      <x v="12"/>
    </i>
    <i r="2">
      <x v="35"/>
    </i>
    <i r="2">
      <x v="37"/>
    </i>
    <i r="2">
      <x v="50"/>
    </i>
    <i r="1">
      <x v="15"/>
      <x v="6"/>
    </i>
    <i r="2">
      <x v="10"/>
    </i>
    <i r="2">
      <x v="15"/>
    </i>
    <i r="2">
      <x v="16"/>
    </i>
    <i r="2">
      <x v="18"/>
    </i>
    <i r="2">
      <x v="22"/>
    </i>
    <i r="2">
      <x v="26"/>
    </i>
    <i r="2">
      <x v="28"/>
    </i>
    <i r="2">
      <x v="29"/>
    </i>
    <i r="2">
      <x v="32"/>
    </i>
    <i r="2">
      <x v="38"/>
    </i>
    <i r="2">
      <x v="40"/>
    </i>
    <i r="2">
      <x v="42"/>
    </i>
    <i r="2">
      <x v="53"/>
    </i>
    <i r="2">
      <x v="57"/>
    </i>
    <i r="2">
      <x v="58"/>
    </i>
    <i t="blank">
      <x v="40"/>
    </i>
    <i>
      <x v="41"/>
    </i>
    <i r="1">
      <x/>
      <x v="47"/>
    </i>
    <i r="1">
      <x v="1"/>
      <x v="35"/>
    </i>
    <i r="1">
      <x v="2"/>
      <x v="33"/>
    </i>
    <i r="2">
      <x v="45"/>
    </i>
    <i r="1">
      <x v="4"/>
      <x/>
    </i>
    <i r="1">
      <x v="5"/>
      <x v="34"/>
    </i>
    <i r="1">
      <x v="6"/>
      <x v="51"/>
    </i>
    <i r="1">
      <x v="7"/>
      <x v="32"/>
    </i>
    <i r="1">
      <x v="8"/>
      <x v="48"/>
    </i>
    <i r="1">
      <x v="9"/>
      <x v="54"/>
    </i>
    <i r="1">
      <x v="10"/>
      <x v="43"/>
    </i>
    <i r="1">
      <x v="11"/>
      <x v="1"/>
    </i>
    <i r="2">
      <x v="2"/>
    </i>
    <i r="2">
      <x v="4"/>
    </i>
    <i r="1">
      <x v="14"/>
      <x v="16"/>
    </i>
    <i r="1">
      <x v="15"/>
      <x v="3"/>
    </i>
    <i r="2">
      <x v="29"/>
    </i>
    <i r="2">
      <x v="50"/>
    </i>
    <i r="1">
      <x v="18"/>
      <x v="30"/>
    </i>
    <i r="2">
      <x v="36"/>
    </i>
    <i r="2">
      <x v="39"/>
    </i>
    <i r="2">
      <x v="42"/>
    </i>
    <i r="2">
      <x v="44"/>
    </i>
    <i r="2">
      <x v="46"/>
    </i>
    <i t="blank">
      <x v="41"/>
    </i>
    <i>
      <x v="42"/>
    </i>
    <i r="1">
      <x/>
      <x v="47"/>
    </i>
    <i r="1">
      <x v="1"/>
      <x v="45"/>
    </i>
    <i r="1">
      <x v="2"/>
      <x v="35"/>
    </i>
    <i r="1">
      <x v="3"/>
      <x/>
    </i>
    <i r="2">
      <x v="1"/>
    </i>
    <i r="1">
      <x v="5"/>
      <x v="34"/>
    </i>
    <i r="2">
      <x v="43"/>
    </i>
    <i r="1">
      <x v="7"/>
      <x v="33"/>
    </i>
    <i r="1">
      <x v="8"/>
      <x v="50"/>
    </i>
    <i r="1">
      <x v="9"/>
      <x v="2"/>
    </i>
    <i r="1">
      <x v="10"/>
      <x v="3"/>
    </i>
    <i r="2">
      <x v="6"/>
    </i>
    <i r="2">
      <x v="42"/>
    </i>
    <i r="1">
      <x v="13"/>
      <x v="48"/>
    </i>
    <i r="2">
      <x v="54"/>
    </i>
    <i r="1">
      <x v="15"/>
      <x v="4"/>
    </i>
    <i r="2">
      <x v="7"/>
    </i>
    <i r="2">
      <x v="29"/>
    </i>
    <i r="2">
      <x v="30"/>
    </i>
    <i r="2">
      <x v="32"/>
    </i>
    <i r="2">
      <x v="40"/>
    </i>
    <i r="2">
      <x v="46"/>
    </i>
    <i t="blank">
      <x v="42"/>
    </i>
    <i>
      <x v="43"/>
    </i>
    <i r="1">
      <x/>
      <x v="47"/>
    </i>
    <i r="1">
      <x v="1"/>
      <x v="35"/>
    </i>
    <i r="1">
      <x v="2"/>
      <x/>
    </i>
    <i r="2">
      <x v="33"/>
    </i>
    <i r="1">
      <x v="4"/>
      <x v="6"/>
    </i>
    <i r="2">
      <x v="45"/>
    </i>
    <i r="2">
      <x v="50"/>
    </i>
    <i r="1">
      <x v="7"/>
      <x v="1"/>
    </i>
    <i r="2">
      <x v="32"/>
    </i>
    <i r="2">
      <x v="54"/>
    </i>
    <i r="1">
      <x v="10"/>
      <x v="34"/>
    </i>
    <i r="2">
      <x v="48"/>
    </i>
    <i r="1">
      <x v="12"/>
      <x v="3"/>
    </i>
    <i r="2">
      <x v="4"/>
    </i>
    <i r="2">
      <x v="46"/>
    </i>
    <i r="1">
      <x v="15"/>
      <x v="2"/>
    </i>
    <i r="2">
      <x v="7"/>
    </i>
    <i r="2">
      <x v="14"/>
    </i>
    <i r="2">
      <x v="17"/>
    </i>
    <i r="2">
      <x v="18"/>
    </i>
    <i r="2">
      <x v="21"/>
    </i>
    <i r="2">
      <x v="23"/>
    </i>
    <i r="2">
      <x v="29"/>
    </i>
    <i r="2">
      <x v="42"/>
    </i>
    <i r="2">
      <x v="43"/>
    </i>
    <i r="2">
      <x v="49"/>
    </i>
    <i r="2">
      <x v="51"/>
    </i>
    <i r="2">
      <x v="52"/>
    </i>
    <i r="2">
      <x v="53"/>
    </i>
    <i r="2">
      <x v="55"/>
    </i>
    <i r="2">
      <x v="56"/>
    </i>
    <i t="blank">
      <x v="43"/>
    </i>
    <i>
      <x v="44"/>
    </i>
    <i r="1">
      <x/>
      <x v="44"/>
    </i>
    <i r="1">
      <x v="1"/>
      <x v="33"/>
    </i>
    <i r="1">
      <x v="2"/>
      <x v="47"/>
    </i>
    <i r="1">
      <x v="3"/>
      <x v="45"/>
    </i>
    <i r="1">
      <x v="4"/>
      <x v="35"/>
    </i>
    <i r="1">
      <x v="5"/>
      <x v="1"/>
    </i>
    <i r="2">
      <x v="51"/>
    </i>
    <i r="1">
      <x v="7"/>
      <x/>
    </i>
    <i r="2">
      <x v="4"/>
    </i>
    <i r="2">
      <x v="6"/>
    </i>
    <i r="2">
      <x v="49"/>
    </i>
    <i r="2">
      <x v="50"/>
    </i>
    <i r="1">
      <x v="12"/>
      <x v="2"/>
    </i>
    <i r="2">
      <x v="3"/>
    </i>
    <i r="2">
      <x v="16"/>
    </i>
    <i r="2">
      <x v="18"/>
    </i>
    <i r="2">
      <x v="20"/>
    </i>
    <i r="2">
      <x v="28"/>
    </i>
    <i r="2">
      <x v="32"/>
    </i>
    <i r="2">
      <x v="34"/>
    </i>
    <i r="2">
      <x v="40"/>
    </i>
    <i r="2">
      <x v="41"/>
    </i>
    <i r="2">
      <x v="48"/>
    </i>
    <i r="2">
      <x v="53"/>
    </i>
    <i t="blank">
      <x v="44"/>
    </i>
    <i>
      <x v="45"/>
    </i>
    <i r="1">
      <x/>
      <x/>
    </i>
    <i r="1">
      <x v="1"/>
      <x v="33"/>
    </i>
    <i r="2">
      <x v="47"/>
    </i>
    <i r="1">
      <x v="3"/>
      <x v="35"/>
    </i>
    <i r="1">
      <x v="4"/>
      <x v="4"/>
    </i>
    <i r="1">
      <x v="5"/>
      <x v="1"/>
    </i>
    <i r="2">
      <x v="34"/>
    </i>
    <i r="1">
      <x v="7"/>
      <x v="3"/>
    </i>
    <i r="2">
      <x v="6"/>
    </i>
    <i r="2">
      <x v="45"/>
    </i>
    <i r="2">
      <x v="50"/>
    </i>
    <i r="1">
      <x v="11"/>
      <x v="29"/>
    </i>
    <i r="2">
      <x v="42"/>
    </i>
    <i r="2">
      <x v="54"/>
    </i>
    <i r="1">
      <x v="14"/>
      <x v="2"/>
    </i>
    <i r="2">
      <x v="10"/>
    </i>
    <i r="2">
      <x v="12"/>
    </i>
    <i r="2">
      <x v="39"/>
    </i>
    <i r="2">
      <x v="40"/>
    </i>
    <i r="2">
      <x v="51"/>
    </i>
    <i t="blank">
      <x v="45"/>
    </i>
    <i>
      <x v="46"/>
    </i>
    <i r="1">
      <x/>
      <x v="33"/>
    </i>
    <i r="1">
      <x v="1"/>
      <x/>
    </i>
    <i r="1">
      <x v="2"/>
      <x v="43"/>
    </i>
    <i r="2">
      <x v="44"/>
    </i>
    <i r="2">
      <x v="45"/>
    </i>
    <i r="2">
      <x v="47"/>
    </i>
    <i r="1">
      <x v="6"/>
      <x v="39"/>
    </i>
    <i r="1">
      <x v="7"/>
      <x v="1"/>
    </i>
    <i r="2">
      <x v="3"/>
    </i>
    <i r="2">
      <x v="4"/>
    </i>
    <i r="2">
      <x v="28"/>
    </i>
    <i r="2">
      <x v="34"/>
    </i>
    <i r="2">
      <x v="35"/>
    </i>
    <i r="2">
      <x v="42"/>
    </i>
    <i r="2">
      <x v="56"/>
    </i>
    <i t="blank">
      <x v="46"/>
    </i>
    <i>
      <x v="47"/>
    </i>
    <i r="1">
      <x/>
      <x/>
    </i>
    <i r="1">
      <x v="1"/>
      <x v="47"/>
    </i>
    <i r="1">
      <x v="2"/>
      <x v="1"/>
    </i>
    <i r="2">
      <x v="2"/>
    </i>
    <i r="2">
      <x v="35"/>
    </i>
    <i r="1">
      <x v="5"/>
      <x v="33"/>
    </i>
    <i r="2">
      <x v="34"/>
    </i>
    <i r="2">
      <x v="42"/>
    </i>
    <i r="2">
      <x v="54"/>
    </i>
    <i r="1">
      <x v="9"/>
      <x v="3"/>
    </i>
    <i r="2">
      <x v="4"/>
    </i>
    <i r="2">
      <x v="5"/>
    </i>
    <i r="2">
      <x v="6"/>
    </i>
    <i r="2">
      <x v="11"/>
    </i>
    <i r="2">
      <x v="18"/>
    </i>
    <i r="2">
      <x v="23"/>
    </i>
    <i r="2">
      <x v="24"/>
    </i>
    <i r="2">
      <x v="27"/>
    </i>
    <i r="2">
      <x v="30"/>
    </i>
    <i r="2">
      <x v="32"/>
    </i>
    <i r="2">
      <x v="39"/>
    </i>
    <i r="2">
      <x v="44"/>
    </i>
    <i r="2">
      <x v="45"/>
    </i>
    <i r="2">
      <x v="50"/>
    </i>
    <i r="2">
      <x v="51"/>
    </i>
    <i t="blank">
      <x v="47"/>
    </i>
    <i>
      <x v="48"/>
    </i>
    <i r="1">
      <x/>
      <x/>
    </i>
    <i r="1">
      <x v="1"/>
      <x v="1"/>
    </i>
    <i r="1">
      <x v="2"/>
      <x v="33"/>
    </i>
    <i r="2">
      <x v="35"/>
    </i>
    <i r="1">
      <x v="4"/>
      <x v="6"/>
    </i>
    <i r="2">
      <x v="11"/>
    </i>
    <i r="2">
      <x v="47"/>
    </i>
    <i r="2">
      <x v="50"/>
    </i>
    <i r="1">
      <x v="8"/>
      <x v="2"/>
    </i>
    <i r="2">
      <x v="3"/>
    </i>
    <i r="2">
      <x v="4"/>
    </i>
    <i r="2">
      <x v="29"/>
    </i>
    <i r="2">
      <x v="31"/>
    </i>
    <i r="2">
      <x v="39"/>
    </i>
    <i r="2">
      <x v="43"/>
    </i>
    <i r="2">
      <x v="49"/>
    </i>
    <i r="2">
      <x v="53"/>
    </i>
    <i r="2">
      <x v="54"/>
    </i>
    <i t="blank">
      <x v="48"/>
    </i>
    <i>
      <x v="49"/>
    </i>
    <i r="1">
      <x/>
      <x v="47"/>
    </i>
    <i r="1">
      <x v="1"/>
      <x v="35"/>
    </i>
    <i r="2">
      <x v="45"/>
    </i>
    <i r="1">
      <x v="3"/>
      <x v="33"/>
    </i>
    <i r="1">
      <x v="4"/>
      <x/>
    </i>
    <i r="1">
      <x v="5"/>
      <x v="34"/>
    </i>
    <i r="1">
      <x v="6"/>
      <x v="1"/>
    </i>
    <i r="2">
      <x v="51"/>
    </i>
    <i r="1">
      <x v="8"/>
      <x v="6"/>
    </i>
    <i r="2">
      <x v="43"/>
    </i>
    <i r="1">
      <x v="10"/>
      <x v="2"/>
    </i>
    <i r="2">
      <x v="54"/>
    </i>
    <i r="1">
      <x v="12"/>
      <x v="28"/>
    </i>
    <i r="2">
      <x v="52"/>
    </i>
    <i r="1">
      <x v="14"/>
      <x v="4"/>
    </i>
    <i r="2">
      <x v="48"/>
    </i>
    <i r="1">
      <x v="16"/>
      <x v="5"/>
    </i>
    <i r="2">
      <x v="11"/>
    </i>
    <i r="2">
      <x v="42"/>
    </i>
    <i r="2">
      <x v="46"/>
    </i>
    <i t="blank">
      <x v="49"/>
    </i>
    <i>
      <x v="50"/>
    </i>
    <i r="1">
      <x/>
      <x v="35"/>
    </i>
    <i r="2">
      <x v="47"/>
    </i>
    <i r="1">
      <x v="2"/>
      <x v="33"/>
    </i>
    <i r="1">
      <x v="3"/>
      <x/>
    </i>
    <i r="1">
      <x v="4"/>
      <x v="45"/>
    </i>
    <i r="1">
      <x v="5"/>
      <x v="34"/>
    </i>
    <i r="1">
      <x v="6"/>
      <x v="1"/>
    </i>
    <i r="1">
      <x v="7"/>
      <x v="2"/>
    </i>
    <i r="2">
      <x v="50"/>
    </i>
    <i r="1">
      <x v="9"/>
      <x v="44"/>
    </i>
    <i r="1">
      <x v="10"/>
      <x v="46"/>
    </i>
    <i r="2">
      <x v="54"/>
    </i>
    <i r="1">
      <x v="12"/>
      <x v="3"/>
    </i>
    <i r="2">
      <x v="24"/>
    </i>
    <i r="2">
      <x v="39"/>
    </i>
    <i r="2">
      <x v="52"/>
    </i>
    <i r="1">
      <x v="16"/>
      <x v="32"/>
    </i>
    <i r="1">
      <x v="17"/>
      <x v="7"/>
    </i>
    <i r="2">
      <x v="11"/>
    </i>
    <i r="2">
      <x v="29"/>
    </i>
    <i r="2">
      <x v="31"/>
    </i>
    <i r="2">
      <x v="43"/>
    </i>
    <i r="2">
      <x v="48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747">
      <pivotArea field="2" type="button" dataOnly="0" labelOnly="1" outline="0" axis="axisRow" fieldPosition="0"/>
    </format>
    <format dxfId="746">
      <pivotArea outline="0" fieldPosition="0">
        <references count="1">
          <reference field="4294967294" count="1">
            <x v="0"/>
          </reference>
        </references>
      </pivotArea>
    </format>
    <format dxfId="745">
      <pivotArea outline="0" fieldPosition="0">
        <references count="1">
          <reference field="4294967294" count="1">
            <x v="1"/>
          </reference>
        </references>
      </pivotArea>
    </format>
    <format dxfId="744">
      <pivotArea outline="0" fieldPosition="0">
        <references count="1">
          <reference field="4294967294" count="1">
            <x v="2"/>
          </reference>
        </references>
      </pivotArea>
    </format>
    <format dxfId="743">
      <pivotArea outline="0" fieldPosition="0">
        <references count="1">
          <reference field="4294967294" count="1">
            <x v="3"/>
          </reference>
        </references>
      </pivotArea>
    </format>
    <format dxfId="742">
      <pivotArea outline="0" fieldPosition="0">
        <references count="1">
          <reference field="4294967294" count="1">
            <x v="4"/>
          </reference>
        </references>
      </pivotArea>
    </format>
    <format dxfId="741">
      <pivotArea outline="0" fieldPosition="0">
        <references count="1">
          <reference field="4294967294" count="1">
            <x v="5"/>
          </reference>
        </references>
      </pivotArea>
    </format>
    <format dxfId="740">
      <pivotArea outline="0" fieldPosition="0">
        <references count="1">
          <reference field="4294967294" count="1">
            <x v="6"/>
          </reference>
        </references>
      </pivotArea>
    </format>
    <format dxfId="739">
      <pivotArea field="2" type="button" dataOnly="0" labelOnly="1" outline="0" axis="axisRow" fieldPosition="0"/>
    </format>
    <format dxfId="7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7">
      <pivotArea field="2" type="button" dataOnly="0" labelOnly="1" outline="0" axis="axisRow" fieldPosition="0"/>
    </format>
    <format dxfId="7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5">
      <pivotArea field="2" type="button" dataOnly="0" labelOnly="1" outline="0" axis="axisRow" fieldPosition="0"/>
    </format>
    <format dxfId="7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9E0F4D-7216-4DF6-A801-19B585E5DDAA}" name="pvt_S" cacheId="225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366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51">
        <item x="30"/>
        <item x="29"/>
        <item x="28"/>
        <item x="31"/>
        <item x="32"/>
        <item x="27"/>
        <item x="17"/>
        <item x="39"/>
        <item x="40"/>
        <item x="16"/>
        <item x="14"/>
        <item x="20"/>
        <item x="26"/>
        <item x="25"/>
        <item x="13"/>
        <item x="49"/>
        <item x="48"/>
        <item x="41"/>
        <item x="46"/>
        <item x="47"/>
        <item x="44"/>
        <item x="45"/>
        <item x="42"/>
        <item x="43"/>
        <item x="21"/>
        <item x="23"/>
        <item x="22"/>
        <item x="24"/>
        <item x="11"/>
        <item x="0"/>
        <item x="1"/>
        <item x="4"/>
        <item x="2"/>
        <item x="3"/>
        <item x="5"/>
        <item x="6"/>
        <item x="9"/>
        <item x="19"/>
        <item x="12"/>
        <item x="35"/>
        <item x="34"/>
        <item x="33"/>
        <item x="36"/>
        <item x="37"/>
        <item x="15"/>
        <item x="8"/>
        <item x="10"/>
        <item x="50"/>
        <item x="18"/>
        <item x="38"/>
        <item x="7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43">
        <item x="134"/>
        <item x="3"/>
        <item x="56"/>
        <item x="17"/>
        <item x="13"/>
        <item x="124"/>
        <item x="49"/>
        <item x="100"/>
        <item x="57"/>
        <item x="86"/>
        <item x="58"/>
        <item x="40"/>
        <item x="97"/>
        <item x="28"/>
        <item x="14"/>
        <item x="108"/>
        <item x="27"/>
        <item x="109"/>
        <item x="88"/>
        <item x="102"/>
        <item x="125"/>
        <item x="59"/>
        <item x="60"/>
        <item x="78"/>
        <item x="90"/>
        <item x="121"/>
        <item x="50"/>
        <item x="131"/>
        <item x="135"/>
        <item x="51"/>
        <item x="140"/>
        <item x="127"/>
        <item x="94"/>
        <item x="122"/>
        <item x="123"/>
        <item x="61"/>
        <item x="110"/>
        <item x="107"/>
        <item x="106"/>
        <item x="80"/>
        <item x="139"/>
        <item x="62"/>
        <item x="132"/>
        <item x="63"/>
        <item x="42"/>
        <item x="111"/>
        <item x="103"/>
        <item x="119"/>
        <item x="64"/>
        <item x="65"/>
        <item x="66"/>
        <item x="104"/>
        <item x="91"/>
        <item x="112"/>
        <item x="136"/>
        <item x="67"/>
        <item x="44"/>
        <item x="113"/>
        <item x="137"/>
        <item x="29"/>
        <item x="30"/>
        <item x="79"/>
        <item x="141"/>
        <item x="92"/>
        <item x="82"/>
        <item x="68"/>
        <item x="138"/>
        <item x="19"/>
        <item x="98"/>
        <item x="84"/>
        <item x="69"/>
        <item x="39"/>
        <item x="83"/>
        <item x="43"/>
        <item x="38"/>
        <item x="31"/>
        <item x="7"/>
        <item x="6"/>
        <item x="32"/>
        <item x="70"/>
        <item x="71"/>
        <item x="16"/>
        <item x="72"/>
        <item x="33"/>
        <item x="87"/>
        <item x="53"/>
        <item x="99"/>
        <item x="10"/>
        <item x="48"/>
        <item x="35"/>
        <item x="114"/>
        <item x="20"/>
        <item x="18"/>
        <item x="1"/>
        <item x="22"/>
        <item x="21"/>
        <item x="115"/>
        <item x="73"/>
        <item x="128"/>
        <item x="129"/>
        <item x="74"/>
        <item x="75"/>
        <item x="23"/>
        <item x="116"/>
        <item x="89"/>
        <item x="15"/>
        <item x="46"/>
        <item x="95"/>
        <item x="85"/>
        <item x="34"/>
        <item x="5"/>
        <item x="76"/>
        <item x="9"/>
        <item x="4"/>
        <item x="24"/>
        <item x="96"/>
        <item x="52"/>
        <item x="25"/>
        <item x="2"/>
        <item x="0"/>
        <item x="26"/>
        <item x="130"/>
        <item x="120"/>
        <item x="36"/>
        <item x="126"/>
        <item x="142"/>
        <item x="117"/>
        <item x="37"/>
        <item x="11"/>
        <item x="54"/>
        <item x="8"/>
        <item x="81"/>
        <item x="45"/>
        <item x="41"/>
        <item x="93"/>
        <item x="118"/>
        <item x="77"/>
        <item x="12"/>
        <item x="105"/>
        <item x="133"/>
        <item x="101"/>
        <item x="55"/>
        <item x="47"/>
      </items>
    </pivotField>
    <pivotField showAll="0" defaultSubtotal="0">
      <items count="143">
        <item x="71"/>
        <item x="128"/>
        <item x="126"/>
        <item x="53"/>
        <item x="106"/>
        <item x="96"/>
        <item x="7"/>
        <item x="142"/>
        <item x="93"/>
        <item x="85"/>
        <item x="84"/>
        <item x="28"/>
        <item x="78"/>
        <item x="109"/>
        <item x="116"/>
        <item x="26"/>
        <item x="127"/>
        <item x="62"/>
        <item x="76"/>
        <item x="66"/>
        <item x="100"/>
        <item x="4"/>
        <item x="60"/>
        <item x="111"/>
        <item x="16"/>
        <item x="67"/>
        <item x="136"/>
        <item x="134"/>
        <item x="118"/>
        <item x="123"/>
        <item x="137"/>
        <item x="91"/>
        <item x="44"/>
        <item x="112"/>
        <item x="61"/>
        <item x="70"/>
        <item x="94"/>
        <item x="130"/>
        <item x="31"/>
        <item x="69"/>
        <item x="37"/>
        <item x="120"/>
        <item x="27"/>
        <item x="107"/>
        <item x="95"/>
        <item x="32"/>
        <item x="105"/>
        <item x="24"/>
        <item x="11"/>
        <item x="98"/>
        <item x="122"/>
        <item x="63"/>
        <item x="124"/>
        <item x="17"/>
        <item x="79"/>
        <item x="101"/>
        <item x="114"/>
        <item x="138"/>
        <item x="74"/>
        <item x="23"/>
        <item x="75"/>
        <item x="139"/>
        <item x="86"/>
        <item x="92"/>
        <item x="82"/>
        <item x="77"/>
        <item x="115"/>
        <item x="131"/>
        <item x="54"/>
        <item x="81"/>
        <item x="129"/>
        <item x="6"/>
        <item x="12"/>
        <item x="73"/>
        <item x="99"/>
        <item x="117"/>
        <item x="38"/>
        <item x="9"/>
        <item x="121"/>
        <item x="47"/>
        <item x="89"/>
        <item x="87"/>
        <item x="97"/>
        <item x="41"/>
        <item x="65"/>
        <item x="104"/>
        <item x="103"/>
        <item x="133"/>
        <item x="34"/>
        <item x="83"/>
        <item x="30"/>
        <item x="102"/>
        <item x="90"/>
        <item x="51"/>
        <item x="141"/>
        <item x="5"/>
        <item x="25"/>
        <item x="42"/>
        <item x="43"/>
        <item x="68"/>
        <item x="55"/>
        <item x="10"/>
        <item x="36"/>
        <item x="119"/>
        <item x="1"/>
        <item x="49"/>
        <item x="88"/>
        <item x="50"/>
        <item x="22"/>
        <item x="59"/>
        <item x="48"/>
        <item x="57"/>
        <item x="64"/>
        <item x="14"/>
        <item x="108"/>
        <item x="40"/>
        <item x="15"/>
        <item x="3"/>
        <item x="80"/>
        <item x="33"/>
        <item x="72"/>
        <item x="29"/>
        <item x="52"/>
        <item x="58"/>
        <item x="0"/>
        <item x="21"/>
        <item x="20"/>
        <item x="18"/>
        <item x="19"/>
        <item x="35"/>
        <item x="56"/>
        <item x="110"/>
        <item x="140"/>
        <item x="13"/>
        <item x="39"/>
        <item x="125"/>
        <item x="132"/>
        <item x="2"/>
        <item x="46"/>
        <item x="8"/>
        <item x="113"/>
        <item x="45"/>
        <item x="135"/>
      </items>
    </pivotField>
    <pivotField axis="axisRow" showAll="0" defaultSubtotal="0">
      <items count="143">
        <item x="134"/>
        <item x="3"/>
        <item x="56"/>
        <item x="17"/>
        <item x="13"/>
        <item x="124"/>
        <item x="49"/>
        <item x="100"/>
        <item x="57"/>
        <item x="86"/>
        <item x="58"/>
        <item x="40"/>
        <item x="97"/>
        <item x="28"/>
        <item x="14"/>
        <item x="108"/>
        <item x="27"/>
        <item x="109"/>
        <item x="88"/>
        <item x="102"/>
        <item x="125"/>
        <item x="59"/>
        <item x="60"/>
        <item x="78"/>
        <item x="90"/>
        <item x="121"/>
        <item x="50"/>
        <item x="131"/>
        <item x="135"/>
        <item x="51"/>
        <item x="140"/>
        <item x="127"/>
        <item x="94"/>
        <item x="122"/>
        <item x="123"/>
        <item x="61"/>
        <item x="110"/>
        <item x="107"/>
        <item x="106"/>
        <item x="80"/>
        <item x="139"/>
        <item x="62"/>
        <item x="132"/>
        <item x="63"/>
        <item x="42"/>
        <item x="111"/>
        <item x="103"/>
        <item x="119"/>
        <item x="64"/>
        <item x="65"/>
        <item x="66"/>
        <item x="104"/>
        <item x="91"/>
        <item x="112"/>
        <item x="136"/>
        <item x="67"/>
        <item x="44"/>
        <item x="113"/>
        <item x="137"/>
        <item x="29"/>
        <item x="30"/>
        <item x="79"/>
        <item x="141"/>
        <item x="92"/>
        <item x="82"/>
        <item x="68"/>
        <item x="138"/>
        <item x="19"/>
        <item x="98"/>
        <item x="84"/>
        <item x="69"/>
        <item x="39"/>
        <item x="83"/>
        <item x="43"/>
        <item x="38"/>
        <item x="31"/>
        <item x="7"/>
        <item x="6"/>
        <item x="32"/>
        <item x="70"/>
        <item x="71"/>
        <item x="16"/>
        <item x="72"/>
        <item x="33"/>
        <item x="87"/>
        <item x="53"/>
        <item x="99"/>
        <item x="10"/>
        <item x="48"/>
        <item x="35"/>
        <item x="114"/>
        <item x="20"/>
        <item x="18"/>
        <item x="1"/>
        <item x="22"/>
        <item x="21"/>
        <item x="115"/>
        <item x="73"/>
        <item x="128"/>
        <item x="129"/>
        <item x="74"/>
        <item x="75"/>
        <item x="23"/>
        <item x="116"/>
        <item x="89"/>
        <item x="15"/>
        <item x="46"/>
        <item x="95"/>
        <item x="85"/>
        <item x="34"/>
        <item x="5"/>
        <item x="76"/>
        <item x="9"/>
        <item x="4"/>
        <item x="24"/>
        <item x="96"/>
        <item x="52"/>
        <item x="25"/>
        <item x="2"/>
        <item x="0"/>
        <item x="26"/>
        <item x="130"/>
        <item x="120"/>
        <item x="36"/>
        <item x="126"/>
        <item x="142"/>
        <item x="117"/>
        <item x="37"/>
        <item x="11"/>
        <item x="54"/>
        <item x="8"/>
        <item x="81"/>
        <item x="45"/>
        <item x="41"/>
        <item x="93"/>
        <item x="118"/>
        <item x="77"/>
        <item x="12"/>
        <item x="105"/>
        <item x="133"/>
        <item x="101"/>
        <item x="55"/>
        <item x="4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4">
        <item x="152"/>
        <item x="151"/>
        <item x="150"/>
        <item x="149"/>
        <item x="148"/>
        <item x="147"/>
        <item x="146"/>
        <item x="153"/>
        <item x="130"/>
        <item x="129"/>
        <item x="128"/>
        <item x="125"/>
        <item x="124"/>
        <item x="122"/>
        <item x="137"/>
        <item x="121"/>
        <item x="120"/>
        <item x="138"/>
        <item x="87"/>
        <item x="86"/>
        <item x="85"/>
        <item x="84"/>
        <item x="119"/>
        <item x="118"/>
        <item x="127"/>
        <item x="83"/>
        <item x="82"/>
        <item x="123"/>
        <item x="81"/>
        <item x="132"/>
        <item x="80"/>
        <item x="136"/>
        <item x="97"/>
        <item x="79"/>
        <item x="105"/>
        <item x="140"/>
        <item x="78"/>
        <item x="104"/>
        <item x="126"/>
        <item x="96"/>
        <item x="134"/>
        <item x="95"/>
        <item x="77"/>
        <item x="94"/>
        <item x="93"/>
        <item x="76"/>
        <item x="139"/>
        <item x="135"/>
        <item x="103"/>
        <item x="133"/>
        <item x="102"/>
        <item x="145"/>
        <item x="92"/>
        <item x="116"/>
        <item x="74"/>
        <item x="73"/>
        <item x="101"/>
        <item x="72"/>
        <item x="71"/>
        <item x="144"/>
        <item x="70"/>
        <item x="69"/>
        <item x="115"/>
        <item x="114"/>
        <item x="91"/>
        <item x="100"/>
        <item x="90"/>
        <item x="89"/>
        <item x="99"/>
        <item x="75"/>
        <item x="68"/>
        <item x="55"/>
        <item x="54"/>
        <item x="113"/>
        <item x="67"/>
        <item x="53"/>
        <item x="143"/>
        <item x="66"/>
        <item x="117"/>
        <item x="112"/>
        <item x="98"/>
        <item x="111"/>
        <item x="131"/>
        <item x="65"/>
        <item x="64"/>
        <item x="110"/>
        <item x="63"/>
        <item x="62"/>
        <item x="142"/>
        <item x="61"/>
        <item x="52"/>
        <item x="51"/>
        <item x="109"/>
        <item x="60"/>
        <item x="59"/>
        <item x="58"/>
        <item x="50"/>
        <item x="49"/>
        <item x="48"/>
        <item x="108"/>
        <item x="88"/>
        <item x="47"/>
        <item x="46"/>
        <item x="107"/>
        <item x="45"/>
        <item x="44"/>
        <item x="141"/>
        <item x="43"/>
        <item x="57"/>
        <item x="106"/>
        <item x="56"/>
        <item x="37"/>
        <item x="42"/>
        <item x="36"/>
        <item x="35"/>
        <item x="41"/>
        <item x="34"/>
        <item x="33"/>
        <item x="32"/>
        <item x="40"/>
        <item x="31"/>
        <item x="30"/>
        <item x="29"/>
        <item x="28"/>
        <item x="27"/>
        <item x="39"/>
        <item x="26"/>
        <item x="25"/>
        <item x="24"/>
        <item x="38"/>
        <item x="23"/>
        <item x="22"/>
        <item x="21"/>
        <item x="18"/>
        <item x="17"/>
        <item x="16"/>
        <item x="15"/>
        <item x="14"/>
        <item x="13"/>
        <item x="12"/>
        <item x="11"/>
        <item x="10"/>
        <item x="20"/>
        <item x="19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11">
        <item x="213"/>
        <item x="280"/>
        <item x="47"/>
        <item x="292"/>
        <item x="46"/>
        <item x="45"/>
        <item x="258"/>
        <item x="143"/>
        <item x="75"/>
        <item x="278"/>
        <item x="264"/>
        <item x="216"/>
        <item x="272"/>
        <item x="74"/>
        <item x="109"/>
        <item x="32"/>
        <item x="230"/>
        <item x="108"/>
        <item x="16"/>
        <item x="73"/>
        <item x="107"/>
        <item x="152"/>
        <item x="183"/>
        <item x="121"/>
        <item x="63"/>
        <item x="62"/>
        <item x="142"/>
        <item x="96"/>
        <item x="61"/>
        <item x="120"/>
        <item x="31"/>
        <item x="60"/>
        <item x="30"/>
        <item x="263"/>
        <item x="15"/>
        <item x="14"/>
        <item x="59"/>
        <item x="165"/>
        <item x="58"/>
        <item x="44"/>
        <item x="197"/>
        <item x="151"/>
        <item x="13"/>
        <item x="29"/>
        <item x="136"/>
        <item x="28"/>
        <item x="119"/>
        <item x="95"/>
        <item x="72"/>
        <item x="164"/>
        <item x="85"/>
        <item x="182"/>
        <item x="106"/>
        <item x="129"/>
        <item x="71"/>
        <item x="105"/>
        <item x="135"/>
        <item x="84"/>
        <item x="94"/>
        <item x="57"/>
        <item x="83"/>
        <item x="118"/>
        <item x="93"/>
        <item x="189"/>
        <item x="12"/>
        <item x="43"/>
        <item x="301"/>
        <item x="42"/>
        <item x="27"/>
        <item x="41"/>
        <item x="196"/>
        <item x="104"/>
        <item x="26"/>
        <item x="11"/>
        <item x="10"/>
        <item x="229"/>
        <item x="25"/>
        <item x="70"/>
        <item x="117"/>
        <item x="271"/>
        <item x="181"/>
        <item x="56"/>
        <item x="92"/>
        <item x="222"/>
        <item x="163"/>
        <item x="116"/>
        <item x="150"/>
        <item x="24"/>
        <item x="23"/>
        <item x="195"/>
        <item x="91"/>
        <item x="22"/>
        <item x="128"/>
        <item x="9"/>
        <item x="134"/>
        <item x="8"/>
        <item x="69"/>
        <item x="270"/>
        <item x="40"/>
        <item x="103"/>
        <item x="203"/>
        <item x="277"/>
        <item x="55"/>
        <item x="180"/>
        <item x="7"/>
        <item x="21"/>
        <item x="194"/>
        <item x="6"/>
        <item x="158"/>
        <item x="54"/>
        <item x="82"/>
        <item x="179"/>
        <item x="202"/>
        <item x="127"/>
        <item x="68"/>
        <item x="221"/>
        <item x="257"/>
        <item x="53"/>
        <item x="279"/>
        <item x="178"/>
        <item x="193"/>
        <item x="309"/>
        <item x="201"/>
        <item x="126"/>
        <item x="102"/>
        <item x="39"/>
        <item x="5"/>
        <item x="38"/>
        <item x="4"/>
        <item x="171"/>
        <item x="101"/>
        <item x="162"/>
        <item x="288"/>
        <item x="81"/>
        <item x="3"/>
        <item x="208"/>
        <item x="157"/>
        <item x="256"/>
        <item x="80"/>
        <item x="249"/>
        <item x="20"/>
        <item x="79"/>
        <item x="90"/>
        <item x="52"/>
        <item x="156"/>
        <item x="226"/>
        <item x="89"/>
        <item x="300"/>
        <item x="51"/>
        <item x="177"/>
        <item x="19"/>
        <item x="141"/>
        <item x="88"/>
        <item x="188"/>
        <item x="176"/>
        <item x="269"/>
        <item x="78"/>
        <item x="67"/>
        <item x="212"/>
        <item x="50"/>
        <item x="170"/>
        <item x="125"/>
        <item x="187"/>
        <item x="236"/>
        <item x="149"/>
        <item x="220"/>
        <item x="175"/>
        <item x="207"/>
        <item x="169"/>
        <item x="100"/>
        <item x="200"/>
        <item x="140"/>
        <item x="225"/>
        <item x="297"/>
        <item x="115"/>
        <item x="2"/>
        <item x="161"/>
        <item x="248"/>
        <item x="262"/>
        <item x="148"/>
        <item x="268"/>
        <item x="283"/>
        <item x="215"/>
        <item x="139"/>
        <item x="133"/>
        <item x="219"/>
        <item x="295"/>
        <item x="192"/>
        <item x="114"/>
        <item x="174"/>
        <item x="87"/>
        <item x="191"/>
        <item x="261"/>
        <item x="37"/>
        <item x="224"/>
        <item x="235"/>
        <item x="282"/>
        <item x="132"/>
        <item x="155"/>
        <item x="232"/>
        <item x="113"/>
        <item x="218"/>
        <item x="124"/>
        <item x="1"/>
        <item x="99"/>
        <item x="173"/>
        <item x="199"/>
        <item x="238"/>
        <item x="255"/>
        <item x="66"/>
        <item x="147"/>
        <item x="211"/>
        <item x="206"/>
        <item x="112"/>
        <item x="146"/>
        <item x="160"/>
        <item x="186"/>
        <item x="308"/>
        <item x="273"/>
        <item x="228"/>
        <item x="291"/>
        <item x="237"/>
        <item x="138"/>
        <item x="276"/>
        <item x="36"/>
        <item x="242"/>
        <item x="154"/>
        <item x="310"/>
        <item x="185"/>
        <item x="77"/>
        <item x="65"/>
        <item x="260"/>
        <item x="267"/>
        <item x="98"/>
        <item x="227"/>
        <item x="245"/>
        <item x="123"/>
        <item x="214"/>
        <item x="49"/>
        <item x="299"/>
        <item x="64"/>
        <item x="168"/>
        <item x="184"/>
        <item x="275"/>
        <item x="287"/>
        <item x="259"/>
        <item x="35"/>
        <item x="234"/>
        <item x="281"/>
        <item x="18"/>
        <item x="48"/>
        <item x="210"/>
        <item x="285"/>
        <item x="254"/>
        <item x="244"/>
        <item x="17"/>
        <item x="294"/>
        <item x="153"/>
        <item x="274"/>
        <item x="76"/>
        <item x="131"/>
        <item x="266"/>
        <item x="145"/>
        <item x="253"/>
        <item x="0"/>
        <item x="307"/>
        <item x="233"/>
        <item x="231"/>
        <item x="111"/>
        <item x="97"/>
        <item x="34"/>
        <item x="305"/>
        <item x="252"/>
        <item x="290"/>
        <item x="205"/>
        <item x="172"/>
        <item x="86"/>
        <item x="167"/>
        <item x="190"/>
        <item x="286"/>
        <item x="243"/>
        <item x="204"/>
        <item x="159"/>
        <item x="198"/>
        <item x="265"/>
        <item x="241"/>
        <item x="33"/>
        <item x="217"/>
        <item x="298"/>
        <item x="137"/>
        <item x="144"/>
        <item x="209"/>
        <item x="110"/>
        <item x="306"/>
        <item x="251"/>
        <item x="289"/>
        <item x="130"/>
        <item x="250"/>
        <item x="223"/>
        <item x="166"/>
        <item x="247"/>
        <item x="293"/>
        <item x="303"/>
        <item x="246"/>
        <item x="240"/>
        <item x="284"/>
        <item x="122"/>
        <item x="302"/>
        <item x="239"/>
        <item x="304"/>
        <item x="296"/>
      </items>
    </pivotField>
    <pivotField dataField="1" showAll="0" defaultSubtotal="0">
      <items count="125">
        <item x="120"/>
        <item x="72"/>
        <item x="115"/>
        <item x="80"/>
        <item x="55"/>
        <item x="78"/>
        <item x="68"/>
        <item x="67"/>
        <item x="74"/>
        <item x="86"/>
        <item x="70"/>
        <item x="88"/>
        <item x="69"/>
        <item x="45"/>
        <item x="113"/>
        <item x="105"/>
        <item x="50"/>
        <item x="79"/>
        <item x="46"/>
        <item x="62"/>
        <item x="87"/>
        <item x="118"/>
        <item x="94"/>
        <item x="77"/>
        <item x="52"/>
        <item x="37"/>
        <item x="95"/>
        <item x="76"/>
        <item x="26"/>
        <item x="32"/>
        <item x="117"/>
        <item x="107"/>
        <item x="73"/>
        <item x="96"/>
        <item x="85"/>
        <item x="110"/>
        <item x="61"/>
        <item x="56"/>
        <item x="83"/>
        <item x="82"/>
        <item x="71"/>
        <item x="111"/>
        <item x="121"/>
        <item x="106"/>
        <item x="84"/>
        <item x="119"/>
        <item x="104"/>
        <item x="59"/>
        <item x="114"/>
        <item x="93"/>
        <item x="103"/>
        <item x="38"/>
        <item x="54"/>
        <item x="58"/>
        <item x="92"/>
        <item x="89"/>
        <item x="18"/>
        <item x="47"/>
        <item x="124"/>
        <item x="109"/>
        <item x="30"/>
        <item x="27"/>
        <item x="63"/>
        <item x="34"/>
        <item x="75"/>
        <item x="57"/>
        <item x="66"/>
        <item x="102"/>
        <item x="101"/>
        <item x="91"/>
        <item x="108"/>
        <item x="112"/>
        <item x="116"/>
        <item x="65"/>
        <item x="64"/>
        <item x="123"/>
        <item x="36"/>
        <item x="100"/>
        <item x="53"/>
        <item x="49"/>
        <item x="90"/>
        <item x="48"/>
        <item x="41"/>
        <item x="51"/>
        <item x="98"/>
        <item x="99"/>
        <item x="81"/>
        <item x="17"/>
        <item x="39"/>
        <item x="35"/>
        <item x="15"/>
        <item x="16"/>
        <item x="122"/>
        <item x="97"/>
        <item x="3"/>
        <item x="33"/>
        <item x="60"/>
        <item x="44"/>
        <item x="43"/>
        <item x="31"/>
        <item x="19"/>
        <item x="14"/>
        <item x="42"/>
        <item x="20"/>
        <item x="25"/>
        <item x="29"/>
        <item x="28"/>
        <item x="23"/>
        <item x="13"/>
        <item x="40"/>
        <item x="24"/>
        <item x="22"/>
        <item x="10"/>
        <item x="12"/>
        <item x="6"/>
        <item x="7"/>
        <item x="11"/>
        <item x="21"/>
        <item x="1"/>
        <item x="9"/>
        <item x="5"/>
        <item x="8"/>
        <item x="4"/>
        <item x="2"/>
        <item x="0"/>
      </items>
    </pivotField>
    <pivotField dataField="1" showAll="0" defaultSubtotal="0">
      <items count="421">
        <item x="211"/>
        <item x="69"/>
        <item x="51"/>
        <item x="84"/>
        <item x="169"/>
        <item x="247"/>
        <item x="64"/>
        <item x="18"/>
        <item x="111"/>
        <item x="97"/>
        <item x="226"/>
        <item x="310"/>
        <item x="37"/>
        <item x="66"/>
        <item x="301"/>
        <item x="26"/>
        <item x="32"/>
        <item x="144"/>
        <item x="65"/>
        <item x="234"/>
        <item x="249"/>
        <item x="45"/>
        <item x="108"/>
        <item x="71"/>
        <item x="208"/>
        <item x="321"/>
        <item x="181"/>
        <item x="372"/>
        <item x="142"/>
        <item x="48"/>
        <item x="150"/>
        <item x="99"/>
        <item x="67"/>
        <item x="17"/>
        <item x="165"/>
        <item x="172"/>
        <item x="210"/>
        <item x="95"/>
        <item x="141"/>
        <item x="38"/>
        <item x="15"/>
        <item x="16"/>
        <item x="354"/>
        <item x="192"/>
        <item x="82"/>
        <item x="3"/>
        <item x="183"/>
        <item x="125"/>
        <item x="415"/>
        <item x="255"/>
        <item x="30"/>
        <item x="113"/>
        <item x="27"/>
        <item x="96"/>
        <item x="34"/>
        <item x="240"/>
        <item x="76"/>
        <item x="308"/>
        <item x="119"/>
        <item x="145"/>
        <item x="343"/>
        <item x="215"/>
        <item x="195"/>
        <item x="259"/>
        <item x="107"/>
        <item x="128"/>
        <item x="80"/>
        <item x="100"/>
        <item x="374"/>
        <item x="19"/>
        <item x="347"/>
        <item x="14"/>
        <item x="304"/>
        <item x="110"/>
        <item x="59"/>
        <item x="237"/>
        <item x="209"/>
        <item x="264"/>
        <item x="270"/>
        <item x="79"/>
        <item x="143"/>
        <item x="220"/>
        <item x="362"/>
        <item x="98"/>
        <item x="413"/>
        <item x="52"/>
        <item x="182"/>
        <item x="276"/>
        <item x="156"/>
        <item x="338"/>
        <item x="36"/>
        <item x="403"/>
        <item x="286"/>
        <item x="179"/>
        <item x="342"/>
        <item x="168"/>
        <item x="357"/>
        <item x="207"/>
        <item x="86"/>
        <item x="124"/>
        <item x="13"/>
        <item x="248"/>
        <item x="388"/>
        <item x="419"/>
        <item x="131"/>
        <item x="368"/>
        <item x="56"/>
        <item x="92"/>
        <item x="224"/>
        <item x="327"/>
        <item x="167"/>
        <item x="412"/>
        <item x="155"/>
        <item x="130"/>
        <item x="221"/>
        <item x="194"/>
        <item x="139"/>
        <item x="337"/>
        <item x="50"/>
        <item x="261"/>
        <item x="55"/>
        <item x="358"/>
        <item x="236"/>
        <item x="193"/>
        <item x="166"/>
        <item x="272"/>
        <item x="39"/>
        <item x="70"/>
        <item x="260"/>
        <item x="217"/>
        <item x="201"/>
        <item x="191"/>
        <item x="46"/>
        <item x="140"/>
        <item x="401"/>
        <item x="35"/>
        <item x="112"/>
        <item x="262"/>
        <item x="285"/>
        <item x="225"/>
        <item x="54"/>
        <item x="271"/>
        <item x="373"/>
        <item x="58"/>
        <item x="346"/>
        <item x="378"/>
        <item x="246"/>
        <item x="263"/>
        <item x="218"/>
        <item x="127"/>
        <item x="293"/>
        <item x="129"/>
        <item x="164"/>
        <item x="177"/>
        <item x="382"/>
        <item x="33"/>
        <item x="420"/>
        <item x="122"/>
        <item x="68"/>
        <item x="235"/>
        <item x="126"/>
        <item x="10"/>
        <item x="53"/>
        <item x="364"/>
        <item x="328"/>
        <item x="256"/>
        <item x="322"/>
        <item x="83"/>
        <item x="258"/>
        <item x="180"/>
        <item x="121"/>
        <item x="303"/>
        <item x="190"/>
        <item x="12"/>
        <item x="154"/>
        <item x="245"/>
        <item x="336"/>
        <item x="257"/>
        <item x="393"/>
        <item x="6"/>
        <item x="31"/>
        <item x="309"/>
        <item x="189"/>
        <item x="254"/>
        <item x="7"/>
        <item x="123"/>
        <item x="206"/>
        <item x="149"/>
        <item x="296"/>
        <item x="85"/>
        <item x="11"/>
        <item x="344"/>
        <item x="411"/>
        <item x="355"/>
        <item x="174"/>
        <item x="200"/>
        <item x="230"/>
        <item x="152"/>
        <item x="178"/>
        <item x="114"/>
        <item x="137"/>
        <item x="315"/>
        <item x="331"/>
        <item x="417"/>
        <item x="72"/>
        <item x="370"/>
        <item x="219"/>
        <item x="138"/>
        <item x="348"/>
        <item x="94"/>
        <item x="379"/>
        <item x="231"/>
        <item x="277"/>
        <item x="204"/>
        <item x="326"/>
        <item x="163"/>
        <item x="1"/>
        <item x="109"/>
        <item x="153"/>
        <item x="278"/>
        <item x="78"/>
        <item x="284"/>
        <item x="320"/>
        <item x="162"/>
        <item x="49"/>
        <item x="104"/>
        <item x="151"/>
        <item x="47"/>
        <item x="9"/>
        <item x="205"/>
        <item x="89"/>
        <item x="20"/>
        <item x="5"/>
        <item x="253"/>
        <item x="8"/>
        <item x="233"/>
        <item x="363"/>
        <item x="173"/>
        <item x="88"/>
        <item x="77"/>
        <item x="244"/>
        <item x="60"/>
        <item x="252"/>
        <item x="41"/>
        <item x="229"/>
        <item x="397"/>
        <item x="387"/>
        <item x="120"/>
        <item x="25"/>
        <item x="203"/>
        <item x="294"/>
        <item x="288"/>
        <item x="317"/>
        <item x="29"/>
        <item x="74"/>
        <item x="400"/>
        <item x="402"/>
        <item x="298"/>
        <item x="176"/>
        <item x="199"/>
        <item x="232"/>
        <item x="313"/>
        <item x="136"/>
        <item x="81"/>
        <item x="91"/>
        <item x="188"/>
        <item x="28"/>
        <item x="371"/>
        <item x="341"/>
        <item x="148"/>
        <item x="377"/>
        <item x="63"/>
        <item x="4"/>
        <item x="356"/>
        <item x="216"/>
        <item x="367"/>
        <item x="202"/>
        <item x="300"/>
        <item x="187"/>
        <item x="93"/>
        <item x="295"/>
        <item x="23"/>
        <item x="106"/>
        <item x="275"/>
        <item x="410"/>
        <item x="243"/>
        <item x="384"/>
        <item x="214"/>
        <item x="269"/>
        <item x="134"/>
        <item x="418"/>
        <item x="352"/>
        <item x="161"/>
        <item x="302"/>
        <item x="283"/>
        <item x="251"/>
        <item x="361"/>
        <item x="325"/>
        <item x="135"/>
        <item x="175"/>
        <item x="319"/>
        <item x="105"/>
        <item x="242"/>
        <item x="62"/>
        <item x="280"/>
        <item x="101"/>
        <item x="289"/>
        <item x="311"/>
        <item x="160"/>
        <item x="118"/>
        <item x="241"/>
        <item x="335"/>
        <item x="349"/>
        <item x="307"/>
        <item x="24"/>
        <item x="61"/>
        <item x="292"/>
        <item x="22"/>
        <item x="2"/>
        <item x="239"/>
        <item x="267"/>
        <item x="353"/>
        <item x="392"/>
        <item x="116"/>
        <item x="186"/>
        <item x="90"/>
        <item x="306"/>
        <item x="365"/>
        <item x="117"/>
        <item x="268"/>
        <item x="386"/>
        <item x="316"/>
        <item x="340"/>
        <item x="330"/>
        <item x="44"/>
        <item x="396"/>
        <item x="159"/>
        <item x="350"/>
        <item x="171"/>
        <item x="318"/>
        <item x="228"/>
        <item x="323"/>
        <item x="43"/>
        <item x="339"/>
        <item x="198"/>
        <item x="360"/>
        <item x="383"/>
        <item x="299"/>
        <item x="416"/>
        <item x="213"/>
        <item x="103"/>
        <item x="312"/>
        <item x="238"/>
        <item x="291"/>
        <item x="197"/>
        <item x="324"/>
        <item x="334"/>
        <item x="282"/>
        <item x="366"/>
        <item x="395"/>
        <item x="147"/>
        <item x="266"/>
        <item x="223"/>
        <item x="158"/>
        <item x="407"/>
        <item x="333"/>
        <item x="369"/>
        <item x="391"/>
        <item x="133"/>
        <item x="399"/>
        <item x="250"/>
        <item x="376"/>
        <item x="185"/>
        <item x="314"/>
        <item x="329"/>
        <item x="409"/>
        <item x="351"/>
        <item x="281"/>
        <item x="385"/>
        <item x="274"/>
        <item x="297"/>
        <item x="196"/>
        <item x="115"/>
        <item x="359"/>
        <item x="75"/>
        <item x="42"/>
        <item x="227"/>
        <item x="273"/>
        <item x="0"/>
        <item x="222"/>
        <item x="381"/>
        <item x="290"/>
        <item x="332"/>
        <item x="184"/>
        <item x="21"/>
        <item x="73"/>
        <item x="102"/>
        <item x="157"/>
        <item x="404"/>
        <item x="279"/>
        <item x="390"/>
        <item x="394"/>
        <item x="287"/>
        <item x="212"/>
        <item x="57"/>
        <item x="132"/>
        <item x="170"/>
        <item x="389"/>
        <item x="408"/>
        <item x="414"/>
        <item x="305"/>
        <item x="87"/>
        <item x="375"/>
        <item x="265"/>
        <item x="40"/>
        <item x="146"/>
        <item x="405"/>
        <item x="380"/>
        <item x="345"/>
        <item x="406"/>
        <item x="398"/>
      </items>
    </pivotField>
    <pivotField dataField="1" showAll="0" defaultSubtotal="0">
      <items count="100">
        <item x="98"/>
        <item x="95"/>
        <item x="53"/>
        <item x="70"/>
        <item x="94"/>
        <item x="80"/>
        <item x="82"/>
        <item x="48"/>
        <item x="77"/>
        <item x="78"/>
        <item x="92"/>
        <item x="66"/>
        <item x="54"/>
        <item x="76"/>
        <item x="60"/>
        <item x="59"/>
        <item x="50"/>
        <item x="96"/>
        <item x="89"/>
        <item x="55"/>
        <item x="73"/>
        <item x="72"/>
        <item x="61"/>
        <item x="99"/>
        <item x="69"/>
        <item x="56"/>
        <item x="90"/>
        <item x="75"/>
        <item x="85"/>
        <item x="74"/>
        <item x="87"/>
        <item x="88"/>
        <item x="93"/>
        <item x="79"/>
        <item x="84"/>
        <item x="23"/>
        <item x="83"/>
        <item x="52"/>
        <item x="71"/>
        <item x="97"/>
        <item x="43"/>
        <item x="81"/>
        <item x="27"/>
        <item x="41"/>
        <item x="68"/>
        <item x="51"/>
        <item x="67"/>
        <item x="39"/>
        <item x="28"/>
        <item x="21"/>
        <item x="2"/>
        <item x="63"/>
        <item x="91"/>
        <item x="65"/>
        <item x="42"/>
        <item x="38"/>
        <item x="64"/>
        <item x="86"/>
        <item x="8"/>
        <item x="62"/>
        <item x="4"/>
        <item x="49"/>
        <item x="24"/>
        <item x="9"/>
        <item x="58"/>
        <item x="46"/>
        <item x="47"/>
        <item x="22"/>
        <item x="34"/>
        <item x="30"/>
        <item x="45"/>
        <item x="32"/>
        <item x="57"/>
        <item x="44"/>
        <item x="11"/>
        <item x="35"/>
        <item x="12"/>
        <item x="37"/>
        <item x="0"/>
        <item x="33"/>
        <item x="36"/>
        <item x="5"/>
        <item x="40"/>
        <item x="10"/>
        <item x="29"/>
        <item x="26"/>
        <item x="31"/>
        <item x="19"/>
        <item x="7"/>
        <item x="13"/>
        <item x="25"/>
        <item x="6"/>
        <item x="14"/>
        <item x="16"/>
        <item x="18"/>
        <item x="17"/>
        <item x="15"/>
        <item x="20"/>
        <item x="1"/>
        <item x="3"/>
      </items>
    </pivotField>
    <pivotField dataField="1" showAll="0" defaultSubtotal="0">
      <items count="321">
        <item x="168"/>
        <item x="52"/>
        <item x="72"/>
        <item x="205"/>
        <item x="115"/>
        <item x="113"/>
        <item x="154"/>
        <item x="189"/>
        <item x="47"/>
        <item x="215"/>
        <item x="160"/>
        <item x="138"/>
        <item x="177"/>
        <item x="244"/>
        <item x="201"/>
        <item x="53"/>
        <item x="88"/>
        <item x="2"/>
        <item x="210"/>
        <item x="144"/>
        <item x="24"/>
        <item x="93"/>
        <item x="216"/>
        <item x="8"/>
        <item x="4"/>
        <item x="161"/>
        <item x="123"/>
        <item x="66"/>
        <item x="131"/>
        <item x="9"/>
        <item x="277"/>
        <item x="102"/>
        <item x="54"/>
        <item x="193"/>
        <item x="114"/>
        <item x="28"/>
        <item x="105"/>
        <item x="60"/>
        <item x="22"/>
        <item x="167"/>
        <item x="59"/>
        <item x="255"/>
        <item x="112"/>
        <item x="166"/>
        <item x="55"/>
        <item x="284"/>
        <item x="133"/>
        <item x="145"/>
        <item x="314"/>
        <item x="118"/>
        <item x="73"/>
        <item x="56"/>
        <item x="38"/>
        <item x="221"/>
        <item x="11"/>
        <item x="248"/>
        <item x="151"/>
        <item x="82"/>
        <item x="164"/>
        <item x="264"/>
        <item x="12"/>
        <item x="61"/>
        <item x="198"/>
        <item x="107"/>
        <item x="136"/>
        <item x="120"/>
        <item x="25"/>
        <item x="21"/>
        <item x="0"/>
        <item x="280"/>
        <item x="121"/>
        <item x="232"/>
        <item x="181"/>
        <item x="212"/>
        <item x="51"/>
        <item x="98"/>
        <item x="148"/>
        <item x="159"/>
        <item x="245"/>
        <item x="5"/>
        <item x="42"/>
        <item x="139"/>
        <item x="155"/>
        <item x="170"/>
        <item x="85"/>
        <item x="239"/>
        <item x="214"/>
        <item x="23"/>
        <item x="194"/>
        <item x="34"/>
        <item x="225"/>
        <item x="92"/>
        <item x="41"/>
        <item x="81"/>
        <item x="270"/>
        <item x="10"/>
        <item x="30"/>
        <item x="124"/>
        <item x="111"/>
        <item x="49"/>
        <item x="173"/>
        <item x="90"/>
        <item x="142"/>
        <item x="79"/>
        <item x="39"/>
        <item x="32"/>
        <item x="100"/>
        <item x="249"/>
        <item x="279"/>
        <item x="257"/>
        <item x="84"/>
        <item x="176"/>
        <item x="19"/>
        <item x="7"/>
        <item x="197"/>
        <item x="236"/>
        <item x="117"/>
        <item x="13"/>
        <item x="158"/>
        <item x="287"/>
        <item x="184"/>
        <item x="35"/>
        <item x="207"/>
        <item x="6"/>
        <item x="147"/>
        <item x="129"/>
        <item x="203"/>
        <item x="157"/>
        <item x="99"/>
        <item x="295"/>
        <item x="141"/>
        <item x="251"/>
        <item x="96"/>
        <item x="71"/>
        <item x="246"/>
        <item x="174"/>
        <item x="37"/>
        <item x="69"/>
        <item x="178"/>
        <item x="229"/>
        <item x="288"/>
        <item x="83"/>
        <item x="14"/>
        <item x="110"/>
        <item x="253"/>
        <item x="134"/>
        <item x="196"/>
        <item x="33"/>
        <item x="68"/>
        <item x="316"/>
        <item x="76"/>
        <item x="213"/>
        <item x="103"/>
        <item x="218"/>
        <item x="122"/>
        <item x="228"/>
        <item x="36"/>
        <item x="179"/>
        <item x="108"/>
        <item x="70"/>
        <item x="87"/>
        <item x="16"/>
        <item x="130"/>
        <item x="119"/>
        <item x="97"/>
        <item x="238"/>
        <item x="18"/>
        <item x="17"/>
        <item x="67"/>
        <item x="15"/>
        <item x="199"/>
        <item x="125"/>
        <item x="143"/>
        <item x="254"/>
        <item x="94"/>
        <item x="206"/>
        <item x="48"/>
        <item x="274"/>
        <item x="80"/>
        <item x="50"/>
        <item x="163"/>
        <item x="220"/>
        <item x="95"/>
        <item x="319"/>
        <item x="127"/>
        <item x="252"/>
        <item x="45"/>
        <item x="202"/>
        <item x="298"/>
        <item x="171"/>
        <item x="208"/>
        <item x="132"/>
        <item x="190"/>
        <item x="150"/>
        <item x="109"/>
        <item x="305"/>
        <item x="29"/>
        <item x="78"/>
        <item x="247"/>
        <item x="27"/>
        <item x="63"/>
        <item x="31"/>
        <item x="91"/>
        <item x="191"/>
        <item x="259"/>
        <item x="156"/>
        <item x="140"/>
        <item x="65"/>
        <item x="165"/>
        <item x="285"/>
        <item x="180"/>
        <item x="293"/>
        <item x="77"/>
        <item x="273"/>
        <item x="235"/>
        <item x="153"/>
        <item x="106"/>
        <item x="46"/>
        <item x="137"/>
        <item x="302"/>
        <item x="250"/>
        <item x="128"/>
        <item x="64"/>
        <item x="289"/>
        <item x="182"/>
        <item x="278"/>
        <item x="292"/>
        <item x="263"/>
        <item x="26"/>
        <item x="195"/>
        <item x="172"/>
        <item x="149"/>
        <item x="126"/>
        <item x="317"/>
        <item x="242"/>
        <item x="62"/>
        <item x="243"/>
        <item x="204"/>
        <item x="306"/>
        <item x="211"/>
        <item x="223"/>
        <item x="187"/>
        <item x="44"/>
        <item x="89"/>
        <item x="269"/>
        <item x="237"/>
        <item x="1"/>
        <item x="282"/>
        <item x="58"/>
        <item x="188"/>
        <item x="291"/>
        <item x="104"/>
        <item x="219"/>
        <item x="315"/>
        <item x="75"/>
        <item x="296"/>
        <item x="261"/>
        <item x="192"/>
        <item x="286"/>
        <item x="135"/>
        <item x="186"/>
        <item x="43"/>
        <item x="3"/>
        <item x="299"/>
        <item x="300"/>
        <item x="146"/>
        <item x="74"/>
        <item x="267"/>
        <item x="86"/>
        <item x="234"/>
        <item x="307"/>
        <item x="290"/>
        <item x="116"/>
        <item x="224"/>
        <item x="275"/>
        <item x="217"/>
        <item x="320"/>
        <item x="233"/>
        <item x="209"/>
        <item x="304"/>
        <item x="175"/>
        <item x="185"/>
        <item x="301"/>
        <item x="20"/>
        <item x="240"/>
        <item x="256"/>
        <item x="57"/>
        <item x="231"/>
        <item x="262"/>
        <item x="101"/>
        <item x="294"/>
        <item x="297"/>
        <item x="281"/>
        <item x="40"/>
        <item x="152"/>
        <item x="227"/>
        <item x="169"/>
        <item x="260"/>
        <item x="310"/>
        <item x="271"/>
        <item x="276"/>
        <item x="309"/>
        <item x="283"/>
        <item x="258"/>
        <item x="183"/>
        <item x="230"/>
        <item x="200"/>
        <item x="303"/>
        <item x="162"/>
        <item x="266"/>
        <item x="308"/>
        <item x="311"/>
        <item x="241"/>
        <item x="226"/>
        <item x="318"/>
        <item x="272"/>
        <item x="222"/>
        <item x="268"/>
        <item x="313"/>
        <item x="265"/>
        <item x="312"/>
      </items>
    </pivotField>
    <pivotField dataField="1" showAll="0" defaultSubtotal="0">
      <items count="6">
        <item x="0"/>
        <item x="3"/>
        <item x="4"/>
        <item x="2"/>
        <item x="1"/>
        <item x="5"/>
      </items>
    </pivotField>
  </pivotFields>
  <rowFields count="3">
    <field x="2"/>
    <field x="6"/>
    <field x="5"/>
  </rowFields>
  <rowItems count="1365">
    <i>
      <x/>
    </i>
    <i r="1">
      <x/>
      <x v="119"/>
    </i>
    <i r="1">
      <x v="1"/>
      <x v="93"/>
    </i>
    <i r="1">
      <x v="2"/>
      <x v="118"/>
    </i>
    <i r="1">
      <x v="3"/>
      <x v="1"/>
    </i>
    <i r="1">
      <x v="4"/>
      <x v="113"/>
    </i>
    <i r="1">
      <x v="5"/>
      <x v="110"/>
    </i>
    <i r="1">
      <x v="6"/>
      <x v="77"/>
    </i>
    <i r="1">
      <x v="7"/>
      <x v="76"/>
    </i>
    <i r="1">
      <x v="8"/>
      <x v="130"/>
    </i>
    <i r="1">
      <x v="9"/>
      <x v="112"/>
    </i>
    <i r="1">
      <x v="10"/>
      <x v="87"/>
    </i>
    <i r="1">
      <x v="11"/>
      <x v="128"/>
    </i>
    <i r="1">
      <x v="12"/>
      <x v="137"/>
    </i>
    <i r="1">
      <x v="13"/>
      <x v="4"/>
    </i>
    <i r="2">
      <x v="14"/>
    </i>
    <i r="1">
      <x v="15"/>
      <x v="105"/>
    </i>
    <i r="1">
      <x v="16"/>
      <x v="81"/>
    </i>
    <i r="1">
      <x v="17"/>
      <x v="3"/>
    </i>
    <i r="1">
      <x v="18"/>
      <x v="92"/>
    </i>
    <i r="1">
      <x v="19"/>
      <x v="67"/>
    </i>
    <i t="blank">
      <x/>
    </i>
    <i>
      <x v="1"/>
    </i>
    <i r="1">
      <x/>
      <x v="93"/>
    </i>
    <i r="1">
      <x v="1"/>
      <x v="119"/>
    </i>
    <i r="1">
      <x v="2"/>
      <x v="113"/>
    </i>
    <i r="1">
      <x v="3"/>
      <x v="110"/>
    </i>
    <i r="1">
      <x v="4"/>
      <x v="118"/>
    </i>
    <i r="1">
      <x v="5"/>
      <x v="128"/>
    </i>
    <i r="1">
      <x v="6"/>
      <x v="92"/>
    </i>
    <i r="1">
      <x v="7"/>
      <x v="105"/>
    </i>
    <i r="2">
      <x v="130"/>
    </i>
    <i r="1">
      <x v="9"/>
      <x v="112"/>
    </i>
    <i r="1">
      <x v="10"/>
      <x v="91"/>
    </i>
    <i r="1">
      <x v="11"/>
      <x v="87"/>
    </i>
    <i r="1">
      <x v="12"/>
      <x v="1"/>
    </i>
    <i r="1">
      <x v="13"/>
      <x v="77"/>
    </i>
    <i r="1">
      <x v="14"/>
      <x v="81"/>
    </i>
    <i r="1">
      <x v="15"/>
      <x v="76"/>
    </i>
    <i r="1">
      <x v="16"/>
      <x v="67"/>
    </i>
    <i r="1">
      <x v="17"/>
      <x v="3"/>
    </i>
    <i r="1">
      <x v="18"/>
      <x v="14"/>
    </i>
    <i r="1">
      <x v="19"/>
      <x v="137"/>
    </i>
    <i t="blank">
      <x v="1"/>
    </i>
    <i>
      <x v="2"/>
    </i>
    <i r="1">
      <x/>
      <x v="113"/>
    </i>
    <i r="1">
      <x v="1"/>
      <x v="93"/>
    </i>
    <i r="1">
      <x v="2"/>
      <x v="119"/>
    </i>
    <i r="1">
      <x v="3"/>
      <x v="110"/>
    </i>
    <i r="1">
      <x v="4"/>
      <x v="112"/>
    </i>
    <i r="1">
      <x v="5"/>
      <x v="92"/>
    </i>
    <i r="1">
      <x v="6"/>
      <x v="91"/>
    </i>
    <i r="1">
      <x v="7"/>
      <x v="67"/>
    </i>
    <i r="2">
      <x v="87"/>
    </i>
    <i r="1">
      <x v="9"/>
      <x v="128"/>
    </i>
    <i r="1">
      <x v="10"/>
      <x v="105"/>
    </i>
    <i r="1">
      <x v="11"/>
      <x v="118"/>
    </i>
    <i r="1">
      <x v="12"/>
      <x v="81"/>
    </i>
    <i r="1">
      <x v="13"/>
      <x v="130"/>
    </i>
    <i r="1">
      <x v="14"/>
      <x v="76"/>
    </i>
    <i r="1">
      <x v="15"/>
      <x v="95"/>
    </i>
    <i r="1">
      <x v="16"/>
      <x v="94"/>
    </i>
    <i r="1">
      <x v="17"/>
      <x v="102"/>
    </i>
    <i r="2">
      <x v="114"/>
    </i>
    <i r="1">
      <x v="19"/>
      <x v="117"/>
    </i>
    <i r="2">
      <x v="120"/>
    </i>
    <i t="blank">
      <x v="2"/>
    </i>
    <i>
      <x v="3"/>
    </i>
    <i r="1">
      <x/>
      <x v="119"/>
    </i>
    <i r="1">
      <x v="1"/>
      <x v="93"/>
    </i>
    <i r="1">
      <x v="2"/>
      <x v="105"/>
    </i>
    <i r="1">
      <x v="3"/>
      <x v="77"/>
    </i>
    <i r="1">
      <x v="4"/>
      <x v="118"/>
    </i>
    <i r="1">
      <x v="5"/>
      <x v="130"/>
    </i>
    <i r="1">
      <x v="6"/>
      <x v="128"/>
    </i>
    <i r="1">
      <x v="7"/>
      <x v="1"/>
    </i>
    <i r="1">
      <x v="8"/>
      <x v="91"/>
    </i>
    <i r="1">
      <x v="9"/>
      <x v="3"/>
    </i>
    <i r="1">
      <x v="10"/>
      <x v="92"/>
    </i>
    <i r="1">
      <x v="11"/>
      <x v="110"/>
    </i>
    <i r="1">
      <x v="12"/>
      <x v="14"/>
    </i>
    <i r="1">
      <x v="13"/>
      <x v="16"/>
    </i>
    <i r="1">
      <x v="14"/>
      <x v="4"/>
    </i>
    <i r="1">
      <x v="15"/>
      <x v="137"/>
    </i>
    <i r="1">
      <x v="16"/>
      <x v="95"/>
    </i>
    <i r="1">
      <x v="17"/>
      <x v="117"/>
    </i>
    <i r="1">
      <x v="18"/>
      <x v="13"/>
    </i>
    <i r="2">
      <x v="102"/>
    </i>
    <i t="blank">
      <x v="3"/>
    </i>
    <i>
      <x v="4"/>
    </i>
    <i r="1">
      <x/>
      <x v="119"/>
    </i>
    <i r="1">
      <x v="1"/>
      <x v="93"/>
    </i>
    <i r="1">
      <x v="2"/>
      <x v="118"/>
    </i>
    <i r="1">
      <x v="3"/>
      <x v="1"/>
    </i>
    <i r="2">
      <x v="76"/>
    </i>
    <i r="1">
      <x v="5"/>
      <x v="87"/>
    </i>
    <i r="1">
      <x v="6"/>
      <x v="59"/>
    </i>
    <i r="1">
      <x v="7"/>
      <x v="81"/>
    </i>
    <i r="1">
      <x v="8"/>
      <x v="110"/>
    </i>
    <i r="2">
      <x v="130"/>
    </i>
    <i r="1">
      <x v="10"/>
      <x v="67"/>
    </i>
    <i r="2">
      <x v="77"/>
    </i>
    <i r="1">
      <x v="12"/>
      <x v="92"/>
    </i>
    <i r="2">
      <x v="128"/>
    </i>
    <i r="1">
      <x v="14"/>
      <x v="117"/>
    </i>
    <i r="2">
      <x v="137"/>
    </i>
    <i r="1">
      <x v="16"/>
      <x v="105"/>
    </i>
    <i r="1">
      <x v="17"/>
      <x v="91"/>
    </i>
    <i r="1">
      <x v="18"/>
      <x v="3"/>
    </i>
    <i r="1">
      <x v="19"/>
      <x v="14"/>
    </i>
    <i r="2">
      <x v="60"/>
    </i>
    <i r="2">
      <x v="75"/>
    </i>
    <i t="blank">
      <x v="4"/>
    </i>
    <i>
      <x v="5"/>
    </i>
    <i r="1">
      <x/>
      <x v="119"/>
    </i>
    <i r="1">
      <x v="1"/>
      <x v="93"/>
    </i>
    <i r="1">
      <x v="2"/>
      <x v="77"/>
    </i>
    <i r="1">
      <x v="3"/>
      <x v="118"/>
    </i>
    <i r="1">
      <x v="4"/>
      <x v="1"/>
    </i>
    <i r="1">
      <x v="5"/>
      <x v="137"/>
    </i>
    <i r="1">
      <x v="6"/>
      <x v="14"/>
    </i>
    <i r="1">
      <x v="7"/>
      <x v="128"/>
    </i>
    <i r="1">
      <x v="8"/>
      <x v="130"/>
    </i>
    <i r="1">
      <x v="9"/>
      <x v="110"/>
    </i>
    <i r="1">
      <x v="10"/>
      <x v="3"/>
    </i>
    <i r="1">
      <x v="11"/>
      <x v="4"/>
    </i>
    <i r="2">
      <x v="92"/>
    </i>
    <i r="2">
      <x v="105"/>
    </i>
    <i r="1">
      <x v="14"/>
      <x v="16"/>
    </i>
    <i r="1">
      <x v="15"/>
      <x v="87"/>
    </i>
    <i r="2">
      <x v="91"/>
    </i>
    <i r="1">
      <x v="17"/>
      <x v="76"/>
    </i>
    <i r="2">
      <x v="81"/>
    </i>
    <i r="1">
      <x v="19"/>
      <x v="13"/>
    </i>
    <i t="blank">
      <x v="5"/>
    </i>
    <i>
      <x v="6"/>
    </i>
    <i r="1">
      <x/>
      <x v="93"/>
    </i>
    <i r="1">
      <x v="1"/>
      <x v="119"/>
    </i>
    <i r="1">
      <x v="2"/>
      <x v="118"/>
    </i>
    <i r="1">
      <x v="3"/>
      <x v="77"/>
    </i>
    <i r="1">
      <x v="4"/>
      <x v="1"/>
    </i>
    <i r="1">
      <x v="5"/>
      <x v="128"/>
    </i>
    <i r="1">
      <x v="6"/>
      <x v="130"/>
    </i>
    <i r="1">
      <x v="7"/>
      <x v="14"/>
    </i>
    <i r="1">
      <x v="8"/>
      <x v="92"/>
    </i>
    <i r="1">
      <x v="9"/>
      <x v="137"/>
    </i>
    <i r="1">
      <x v="10"/>
      <x v="4"/>
    </i>
    <i r="1">
      <x v="11"/>
      <x v="3"/>
    </i>
    <i r="1">
      <x v="12"/>
      <x v="76"/>
    </i>
    <i r="1">
      <x v="13"/>
      <x v="81"/>
    </i>
    <i r="2">
      <x v="91"/>
    </i>
    <i r="1">
      <x v="15"/>
      <x v="16"/>
    </i>
    <i r="2">
      <x v="105"/>
    </i>
    <i r="1">
      <x v="17"/>
      <x v="87"/>
    </i>
    <i r="2">
      <x v="110"/>
    </i>
    <i r="2">
      <x v="112"/>
    </i>
    <i t="blank">
      <x v="6"/>
    </i>
    <i>
      <x v="7"/>
    </i>
    <i r="1">
      <x/>
      <x v="119"/>
    </i>
    <i r="1">
      <x v="1"/>
      <x v="93"/>
    </i>
    <i r="1">
      <x v="2"/>
      <x v="113"/>
    </i>
    <i r="1">
      <x v="3"/>
      <x v="118"/>
    </i>
    <i r="1">
      <x v="4"/>
      <x v="1"/>
    </i>
    <i r="1">
      <x v="5"/>
      <x v="112"/>
    </i>
    <i r="1">
      <x v="6"/>
      <x v="130"/>
    </i>
    <i r="1">
      <x v="7"/>
      <x v="77"/>
    </i>
    <i r="1">
      <x v="8"/>
      <x v="76"/>
    </i>
    <i r="2">
      <x v="128"/>
    </i>
    <i r="1">
      <x v="10"/>
      <x v="14"/>
    </i>
    <i r="1">
      <x v="11"/>
      <x v="81"/>
    </i>
    <i r="1">
      <x v="12"/>
      <x v="110"/>
    </i>
    <i r="1">
      <x v="13"/>
      <x v="87"/>
    </i>
    <i r="1">
      <x v="14"/>
      <x v="105"/>
    </i>
    <i r="1">
      <x v="15"/>
      <x v="137"/>
    </i>
    <i r="1">
      <x v="16"/>
      <x v="78"/>
    </i>
    <i r="1">
      <x v="17"/>
      <x v="4"/>
    </i>
    <i r="1">
      <x v="18"/>
      <x v="3"/>
    </i>
    <i r="1">
      <x v="19"/>
      <x v="83"/>
    </i>
    <i t="blank">
      <x v="7"/>
    </i>
    <i>
      <x v="8"/>
    </i>
    <i r="1">
      <x/>
      <x v="113"/>
    </i>
    <i r="1">
      <x v="1"/>
      <x v="119"/>
    </i>
    <i r="1">
      <x v="2"/>
      <x v="93"/>
    </i>
    <i r="1">
      <x v="3"/>
      <x v="118"/>
    </i>
    <i r="1">
      <x v="4"/>
      <x v="112"/>
    </i>
    <i r="1">
      <x v="5"/>
      <x v="110"/>
    </i>
    <i r="1">
      <x v="6"/>
      <x v="128"/>
    </i>
    <i r="2">
      <x v="130"/>
    </i>
    <i r="1">
      <x v="8"/>
      <x v="76"/>
    </i>
    <i r="1">
      <x v="9"/>
      <x v="87"/>
    </i>
    <i r="1">
      <x v="10"/>
      <x v="77"/>
    </i>
    <i r="2">
      <x v="81"/>
    </i>
    <i r="2">
      <x v="105"/>
    </i>
    <i r="1">
      <x v="13"/>
      <x v="1"/>
    </i>
    <i r="2">
      <x v="109"/>
    </i>
    <i r="1">
      <x v="15"/>
      <x v="14"/>
    </i>
    <i r="2">
      <x v="67"/>
    </i>
    <i r="2">
      <x v="89"/>
    </i>
    <i r="1">
      <x v="18"/>
      <x v="78"/>
    </i>
    <i r="1">
      <x v="19"/>
      <x v="91"/>
    </i>
    <i r="2">
      <x v="117"/>
    </i>
    <i r="2">
      <x v="120"/>
    </i>
    <i t="blank">
      <x v="8"/>
    </i>
    <i>
      <x v="9"/>
    </i>
    <i r="1">
      <x/>
      <x v="119"/>
    </i>
    <i r="1">
      <x v="1"/>
      <x v="118"/>
    </i>
    <i r="1">
      <x v="2"/>
      <x v="77"/>
    </i>
    <i r="1">
      <x v="3"/>
      <x v="130"/>
    </i>
    <i r="1">
      <x v="4"/>
      <x v="76"/>
    </i>
    <i r="1">
      <x v="5"/>
      <x v="3"/>
    </i>
    <i r="1">
      <x v="6"/>
      <x v="81"/>
    </i>
    <i r="2">
      <x v="137"/>
    </i>
    <i r="1">
      <x v="8"/>
      <x v="110"/>
    </i>
    <i r="1">
      <x v="9"/>
      <x v="4"/>
    </i>
    <i r="2">
      <x v="112"/>
    </i>
    <i r="2">
      <x v="128"/>
    </i>
    <i r="1">
      <x v="12"/>
      <x v="14"/>
    </i>
    <i r="2">
      <x v="67"/>
    </i>
    <i r="2">
      <x v="93"/>
    </i>
    <i r="1">
      <x v="15"/>
      <x v="1"/>
    </i>
    <i r="2">
      <x v="83"/>
    </i>
    <i r="2">
      <x v="91"/>
    </i>
    <i r="1">
      <x v="18"/>
      <x v="87"/>
    </i>
    <i r="1">
      <x v="19"/>
      <x v="123"/>
    </i>
    <i r="2">
      <x v="127"/>
    </i>
    <i t="blank">
      <x v="9"/>
    </i>
    <i>
      <x v="10"/>
    </i>
    <i r="1">
      <x/>
      <x v="93"/>
    </i>
    <i r="1">
      <x v="1"/>
      <x v="119"/>
    </i>
    <i r="1">
      <x v="2"/>
      <x v="113"/>
    </i>
    <i r="1">
      <x v="3"/>
      <x v="94"/>
    </i>
    <i r="1">
      <x v="4"/>
      <x v="118"/>
    </i>
    <i r="1">
      <x v="5"/>
      <x v="112"/>
    </i>
    <i r="1">
      <x v="6"/>
      <x v="1"/>
    </i>
    <i r="2">
      <x v="130"/>
    </i>
    <i r="1">
      <x v="8"/>
      <x v="110"/>
    </i>
    <i r="1">
      <x v="9"/>
      <x v="77"/>
    </i>
    <i r="2">
      <x v="137"/>
    </i>
    <i r="1">
      <x v="11"/>
      <x v="76"/>
    </i>
    <i r="1">
      <x v="12"/>
      <x v="78"/>
    </i>
    <i r="1">
      <x v="13"/>
      <x v="87"/>
    </i>
    <i r="1">
      <x v="14"/>
      <x v="75"/>
    </i>
    <i r="1">
      <x v="15"/>
      <x v="14"/>
    </i>
    <i r="2">
      <x v="74"/>
    </i>
    <i r="2">
      <x v="117"/>
    </i>
    <i r="2">
      <x v="128"/>
    </i>
    <i r="1">
      <x v="19"/>
      <x v="71"/>
    </i>
    <i r="2">
      <x v="83"/>
    </i>
    <i r="2">
      <x v="92"/>
    </i>
    <i r="2">
      <x v="109"/>
    </i>
    <i t="blank">
      <x v="10"/>
    </i>
    <i>
      <x v="11"/>
    </i>
    <i r="1">
      <x/>
      <x v="119"/>
    </i>
    <i r="1">
      <x v="1"/>
      <x v="118"/>
    </i>
    <i r="1">
      <x v="2"/>
      <x v="1"/>
    </i>
    <i r="2">
      <x v="77"/>
    </i>
    <i r="1">
      <x v="4"/>
      <x v="93"/>
    </i>
    <i r="1">
      <x v="5"/>
      <x v="112"/>
    </i>
    <i r="1">
      <x v="6"/>
      <x v="137"/>
    </i>
    <i r="1">
      <x v="7"/>
      <x v="4"/>
    </i>
    <i r="2">
      <x v="76"/>
    </i>
    <i r="1">
      <x v="9"/>
      <x v="110"/>
    </i>
    <i r="1">
      <x v="10"/>
      <x v="113"/>
    </i>
    <i r="1">
      <x v="11"/>
      <x v="83"/>
    </i>
    <i r="1">
      <x v="12"/>
      <x v="81"/>
    </i>
    <i r="1">
      <x v="13"/>
      <x v="87"/>
    </i>
    <i r="1">
      <x v="14"/>
      <x v="67"/>
    </i>
    <i r="1">
      <x v="15"/>
      <x v="14"/>
    </i>
    <i r="2">
      <x v="78"/>
    </i>
    <i r="1">
      <x v="17"/>
      <x v="105"/>
    </i>
    <i r="2">
      <x v="130"/>
    </i>
    <i r="1">
      <x v="19"/>
      <x v="3"/>
    </i>
    <i r="2">
      <x v="59"/>
    </i>
    <i t="blank">
      <x v="11"/>
    </i>
    <i>
      <x v="12"/>
    </i>
    <i r="1">
      <x/>
      <x v="119"/>
    </i>
    <i r="1">
      <x v="1"/>
      <x v="113"/>
    </i>
    <i r="1">
      <x v="2"/>
      <x v="118"/>
    </i>
    <i r="1">
      <x v="3"/>
      <x v="1"/>
    </i>
    <i r="1">
      <x v="4"/>
      <x v="137"/>
    </i>
    <i r="1">
      <x v="5"/>
      <x v="77"/>
    </i>
    <i r="1">
      <x v="6"/>
      <x v="130"/>
    </i>
    <i r="1">
      <x v="7"/>
      <x v="110"/>
    </i>
    <i r="2">
      <x v="112"/>
    </i>
    <i r="1">
      <x v="9"/>
      <x v="75"/>
    </i>
    <i r="1">
      <x v="10"/>
      <x v="87"/>
    </i>
    <i r="1">
      <x v="11"/>
      <x v="76"/>
    </i>
    <i r="1">
      <x v="12"/>
      <x v="67"/>
    </i>
    <i r="1">
      <x v="13"/>
      <x v="81"/>
    </i>
    <i r="1">
      <x v="14"/>
      <x v="3"/>
    </i>
    <i r="2">
      <x v="4"/>
    </i>
    <i r="2">
      <x v="83"/>
    </i>
    <i r="2">
      <x v="109"/>
    </i>
    <i r="2">
      <x v="114"/>
    </i>
    <i r="1">
      <x v="19"/>
      <x v="14"/>
    </i>
    <i r="2">
      <x v="78"/>
    </i>
    <i t="blank">
      <x v="12"/>
    </i>
    <i>
      <x v="13"/>
    </i>
    <i r="1">
      <x/>
      <x v="119"/>
    </i>
    <i r="1">
      <x v="1"/>
      <x v="113"/>
    </i>
    <i r="1">
      <x v="2"/>
      <x v="118"/>
    </i>
    <i r="1">
      <x v="3"/>
      <x v="1"/>
    </i>
    <i r="1">
      <x v="4"/>
      <x v="76"/>
    </i>
    <i r="2">
      <x v="77"/>
    </i>
    <i r="1">
      <x v="6"/>
      <x v="4"/>
    </i>
    <i r="1">
      <x v="7"/>
      <x v="112"/>
    </i>
    <i r="1">
      <x v="8"/>
      <x v="110"/>
    </i>
    <i r="1">
      <x v="9"/>
      <x v="137"/>
    </i>
    <i r="1">
      <x v="10"/>
      <x v="130"/>
    </i>
    <i r="1">
      <x v="11"/>
      <x v="128"/>
    </i>
    <i r="1">
      <x v="12"/>
      <x v="3"/>
    </i>
    <i r="2">
      <x v="93"/>
    </i>
    <i r="1">
      <x v="14"/>
      <x v="14"/>
    </i>
    <i r="1">
      <x v="15"/>
      <x v="75"/>
    </i>
    <i r="1">
      <x v="16"/>
      <x v="78"/>
    </i>
    <i r="2">
      <x v="81"/>
    </i>
    <i r="1">
      <x v="18"/>
      <x v="11"/>
    </i>
    <i r="2">
      <x v="83"/>
    </i>
    <i r="2">
      <x v="109"/>
    </i>
    <i r="2">
      <x v="133"/>
    </i>
    <i t="blank">
      <x v="13"/>
    </i>
    <i>
      <x v="14"/>
    </i>
    <i r="1">
      <x/>
      <x v="119"/>
    </i>
    <i r="1">
      <x v="1"/>
      <x v="118"/>
    </i>
    <i r="1">
      <x v="2"/>
      <x v="1"/>
    </i>
    <i r="1">
      <x v="3"/>
      <x v="76"/>
    </i>
    <i r="2">
      <x v="130"/>
    </i>
    <i r="1">
      <x v="5"/>
      <x v="3"/>
    </i>
    <i r="2">
      <x v="112"/>
    </i>
    <i r="1">
      <x v="7"/>
      <x v="14"/>
    </i>
    <i r="2">
      <x v="77"/>
    </i>
    <i r="1">
      <x v="9"/>
      <x v="128"/>
    </i>
    <i r="1">
      <x v="10"/>
      <x v="110"/>
    </i>
    <i r="1">
      <x v="11"/>
      <x v="16"/>
    </i>
    <i r="2">
      <x v="75"/>
    </i>
    <i r="2">
      <x v="83"/>
    </i>
    <i r="2">
      <x v="93"/>
    </i>
    <i r="2">
      <x v="105"/>
    </i>
    <i r="2">
      <x v="137"/>
    </i>
    <i r="1">
      <x v="17"/>
      <x v="13"/>
    </i>
    <i r="2">
      <x v="87"/>
    </i>
    <i r="2">
      <x v="123"/>
    </i>
    <i t="blank">
      <x v="14"/>
    </i>
    <i>
      <x v="15"/>
    </i>
    <i r="1">
      <x/>
      <x v="93"/>
    </i>
    <i r="1">
      <x v="1"/>
      <x v="119"/>
    </i>
    <i r="1">
      <x v="2"/>
      <x v="76"/>
    </i>
    <i r="1">
      <x v="3"/>
      <x v="1"/>
    </i>
    <i r="2">
      <x v="4"/>
    </i>
    <i r="1">
      <x v="5"/>
      <x v="118"/>
    </i>
    <i r="1">
      <x v="6"/>
      <x v="83"/>
    </i>
    <i r="1">
      <x v="7"/>
      <x v="3"/>
    </i>
    <i r="2">
      <x v="105"/>
    </i>
    <i r="2">
      <x v="130"/>
    </i>
    <i r="1">
      <x v="10"/>
      <x v="44"/>
    </i>
    <i r="2">
      <x v="74"/>
    </i>
    <i r="2">
      <x v="87"/>
    </i>
    <i r="2">
      <x v="110"/>
    </i>
    <i r="1">
      <x v="14"/>
      <x v="73"/>
    </i>
    <i r="2">
      <x v="75"/>
    </i>
    <i r="1">
      <x v="16"/>
      <x v="56"/>
    </i>
    <i r="2">
      <x v="137"/>
    </i>
    <i r="1">
      <x v="18"/>
      <x v="14"/>
    </i>
    <i r="2">
      <x v="59"/>
    </i>
    <i r="2">
      <x v="117"/>
    </i>
    <i r="2">
      <x v="132"/>
    </i>
    <i t="blank">
      <x v="15"/>
    </i>
    <i>
      <x v="16"/>
    </i>
    <i r="1">
      <x/>
      <x v="119"/>
    </i>
    <i r="1">
      <x v="1"/>
      <x v="118"/>
    </i>
    <i r="1">
      <x v="2"/>
      <x v="76"/>
    </i>
    <i r="1">
      <x v="3"/>
      <x v="4"/>
    </i>
    <i r="1">
      <x v="4"/>
      <x v="77"/>
    </i>
    <i r="1">
      <x v="5"/>
      <x v="137"/>
    </i>
    <i r="1">
      <x v="6"/>
      <x v="1"/>
    </i>
    <i r="2">
      <x v="130"/>
    </i>
    <i r="1">
      <x v="8"/>
      <x v="128"/>
    </i>
    <i r="1">
      <x v="9"/>
      <x v="112"/>
    </i>
    <i r="1">
      <x v="10"/>
      <x v="110"/>
    </i>
    <i r="1">
      <x v="11"/>
      <x v="14"/>
    </i>
    <i r="1">
      <x v="12"/>
      <x v="105"/>
    </i>
    <i r="1">
      <x v="13"/>
      <x v="75"/>
    </i>
    <i r="2">
      <x v="87"/>
    </i>
    <i r="1">
      <x v="15"/>
      <x v="3"/>
    </i>
    <i r="2">
      <x v="83"/>
    </i>
    <i r="1">
      <x v="17"/>
      <x v="81"/>
    </i>
    <i r="2">
      <x v="117"/>
    </i>
    <i r="1">
      <x v="19"/>
      <x v="16"/>
    </i>
    <i r="2">
      <x v="78"/>
    </i>
    <i t="blank">
      <x v="16"/>
    </i>
    <i>
      <x v="17"/>
    </i>
    <i r="1">
      <x/>
      <x v="119"/>
    </i>
    <i r="1">
      <x v="1"/>
      <x v="110"/>
    </i>
    <i r="1">
      <x v="2"/>
      <x v="1"/>
    </i>
    <i r="1">
      <x v="3"/>
      <x v="118"/>
    </i>
    <i r="1">
      <x v="4"/>
      <x v="113"/>
    </i>
    <i r="1">
      <x v="5"/>
      <x v="106"/>
    </i>
    <i r="1">
      <x v="6"/>
      <x v="130"/>
    </i>
    <i r="1">
      <x v="7"/>
      <x v="76"/>
    </i>
    <i r="2">
      <x v="87"/>
    </i>
    <i r="1">
      <x v="9"/>
      <x v="112"/>
    </i>
    <i r="1">
      <x v="10"/>
      <x v="137"/>
    </i>
    <i r="1">
      <x v="11"/>
      <x v="4"/>
    </i>
    <i r="1">
      <x v="12"/>
      <x v="3"/>
    </i>
    <i r="2">
      <x v="75"/>
    </i>
    <i r="2">
      <x v="77"/>
    </i>
    <i r="2">
      <x v="109"/>
    </i>
    <i r="1">
      <x v="16"/>
      <x v="67"/>
    </i>
    <i r="2">
      <x v="81"/>
    </i>
    <i r="2">
      <x v="105"/>
    </i>
    <i r="2">
      <x v="128"/>
    </i>
    <i t="blank">
      <x v="17"/>
    </i>
    <i>
      <x v="18"/>
    </i>
    <i r="1">
      <x/>
      <x v="119"/>
    </i>
    <i r="1">
      <x v="1"/>
      <x v="118"/>
    </i>
    <i r="1">
      <x v="2"/>
      <x v="76"/>
    </i>
    <i r="1">
      <x v="3"/>
      <x v="87"/>
    </i>
    <i r="1">
      <x v="4"/>
      <x v="93"/>
    </i>
    <i r="1">
      <x v="5"/>
      <x v="110"/>
    </i>
    <i r="1">
      <x v="6"/>
      <x v="1"/>
    </i>
    <i r="1">
      <x v="7"/>
      <x v="77"/>
    </i>
    <i r="1">
      <x v="8"/>
      <x v="130"/>
    </i>
    <i r="1">
      <x v="9"/>
      <x v="113"/>
    </i>
    <i r="2">
      <x v="142"/>
    </i>
    <i r="1">
      <x v="11"/>
      <x v="83"/>
    </i>
    <i r="1">
      <x v="12"/>
      <x v="106"/>
    </i>
    <i r="1">
      <x v="13"/>
      <x v="75"/>
    </i>
    <i r="1">
      <x v="14"/>
      <x v="78"/>
    </i>
    <i r="2">
      <x v="137"/>
    </i>
    <i r="1">
      <x v="16"/>
      <x v="14"/>
    </i>
    <i r="2">
      <x v="112"/>
    </i>
    <i r="1">
      <x v="18"/>
      <x v="3"/>
    </i>
    <i r="2">
      <x v="73"/>
    </i>
    <i r="2">
      <x v="109"/>
    </i>
    <i t="blank">
      <x v="18"/>
    </i>
    <i>
      <x v="19"/>
    </i>
    <i r="1">
      <x/>
      <x v="119"/>
    </i>
    <i r="1">
      <x v="1"/>
      <x v="118"/>
    </i>
    <i r="1">
      <x v="2"/>
      <x v="128"/>
    </i>
    <i r="1">
      <x v="3"/>
      <x v="130"/>
    </i>
    <i r="1">
      <x v="4"/>
      <x v="1"/>
    </i>
    <i r="1">
      <x v="5"/>
      <x v="77"/>
    </i>
    <i r="2">
      <x v="93"/>
    </i>
    <i r="2">
      <x v="112"/>
    </i>
    <i r="1">
      <x v="8"/>
      <x v="14"/>
    </i>
    <i r="1">
      <x v="9"/>
      <x v="81"/>
    </i>
    <i r="1">
      <x v="10"/>
      <x v="16"/>
    </i>
    <i r="1">
      <x v="11"/>
      <x v="75"/>
    </i>
    <i r="1">
      <x v="12"/>
      <x v="76"/>
    </i>
    <i r="1">
      <x v="13"/>
      <x v="13"/>
    </i>
    <i r="2">
      <x v="88"/>
    </i>
    <i r="2">
      <x v="127"/>
    </i>
    <i r="1">
      <x v="16"/>
      <x v="87"/>
    </i>
    <i r="2">
      <x v="110"/>
    </i>
    <i r="2">
      <x v="137"/>
    </i>
    <i r="1">
      <x v="19"/>
      <x v="4"/>
    </i>
    <i t="blank">
      <x v="19"/>
    </i>
    <i>
      <x v="20"/>
    </i>
    <i r="1">
      <x/>
      <x v="118"/>
    </i>
    <i r="1">
      <x v="1"/>
      <x v="1"/>
    </i>
    <i r="2">
      <x v="119"/>
    </i>
    <i r="1">
      <x v="3"/>
      <x v="4"/>
    </i>
    <i r="2">
      <x v="76"/>
    </i>
    <i r="1">
      <x v="5"/>
      <x v="77"/>
    </i>
    <i r="2">
      <x v="83"/>
    </i>
    <i r="1">
      <x v="7"/>
      <x v="3"/>
    </i>
    <i r="2">
      <x v="14"/>
    </i>
    <i r="2">
      <x v="137"/>
    </i>
    <i r="1">
      <x v="10"/>
      <x v="6"/>
    </i>
    <i r="2">
      <x v="112"/>
    </i>
    <i r="1">
      <x v="12"/>
      <x v="26"/>
    </i>
    <i r="2">
      <x v="29"/>
    </i>
    <i r="2">
      <x v="81"/>
    </i>
    <i r="2">
      <x v="87"/>
    </i>
    <i r="2">
      <x v="110"/>
    </i>
    <i r="2">
      <x v="116"/>
    </i>
    <i r="2">
      <x v="128"/>
    </i>
    <i r="2">
      <x v="130"/>
    </i>
    <i t="blank">
      <x v="20"/>
    </i>
    <i>
      <x v="21"/>
    </i>
    <i r="1">
      <x/>
      <x v="1"/>
    </i>
    <i r="1">
      <x v="1"/>
      <x v="119"/>
    </i>
    <i r="2">
      <x v="130"/>
    </i>
    <i r="1">
      <x v="3"/>
      <x v="4"/>
    </i>
    <i r="2">
      <x v="118"/>
    </i>
    <i r="2">
      <x v="137"/>
    </i>
    <i r="1">
      <x v="6"/>
      <x v="93"/>
    </i>
    <i r="1">
      <x v="7"/>
      <x v="71"/>
    </i>
    <i r="2">
      <x v="75"/>
    </i>
    <i r="2">
      <x v="83"/>
    </i>
    <i r="1">
      <x v="10"/>
      <x v="76"/>
    </i>
    <i r="2">
      <x v="77"/>
    </i>
    <i r="2">
      <x v="81"/>
    </i>
    <i r="2">
      <x v="85"/>
    </i>
    <i r="2">
      <x v="88"/>
    </i>
    <i r="2">
      <x v="129"/>
    </i>
    <i r="2">
      <x v="141"/>
    </i>
    <i r="1">
      <x v="17"/>
      <x v="2"/>
    </i>
    <i r="2">
      <x v="6"/>
    </i>
    <i r="2">
      <x v="8"/>
    </i>
    <i r="2">
      <x v="10"/>
    </i>
    <i r="2">
      <x v="13"/>
    </i>
    <i r="2">
      <x v="14"/>
    </i>
    <i r="2">
      <x v="16"/>
    </i>
    <i r="2">
      <x v="21"/>
    </i>
    <i r="2">
      <x v="22"/>
    </i>
    <i r="2">
      <x v="35"/>
    </i>
    <i r="2">
      <x v="41"/>
    </i>
    <i r="2">
      <x v="43"/>
    </i>
    <i r="2">
      <x v="48"/>
    </i>
    <i r="2">
      <x v="49"/>
    </i>
    <i r="2">
      <x v="50"/>
    </i>
    <i r="2">
      <x v="55"/>
    </i>
    <i r="2">
      <x v="59"/>
    </i>
    <i r="2">
      <x v="60"/>
    </i>
    <i r="2">
      <x v="65"/>
    </i>
    <i r="2">
      <x v="70"/>
    </i>
    <i r="2">
      <x v="74"/>
    </i>
    <i r="2">
      <x v="78"/>
    </i>
    <i r="2">
      <x v="79"/>
    </i>
    <i r="2">
      <x v="80"/>
    </i>
    <i r="2">
      <x v="82"/>
    </i>
    <i r="2">
      <x v="87"/>
    </i>
    <i r="2">
      <x v="91"/>
    </i>
    <i r="2">
      <x v="97"/>
    </i>
    <i r="2">
      <x v="100"/>
    </i>
    <i r="2">
      <x v="101"/>
    </i>
    <i r="2">
      <x v="105"/>
    </i>
    <i r="2">
      <x v="109"/>
    </i>
    <i r="2">
      <x v="110"/>
    </i>
    <i r="2">
      <x v="111"/>
    </i>
    <i r="2">
      <x v="112"/>
    </i>
    <i r="2">
      <x v="117"/>
    </i>
    <i r="2">
      <x v="127"/>
    </i>
    <i r="2">
      <x v="128"/>
    </i>
    <i r="2">
      <x v="136"/>
    </i>
    <i t="blank">
      <x v="21"/>
    </i>
    <i>
      <x v="22"/>
    </i>
    <i r="1">
      <x/>
      <x v="119"/>
    </i>
    <i r="1">
      <x v="1"/>
      <x v="76"/>
    </i>
    <i r="1">
      <x v="2"/>
      <x v="1"/>
    </i>
    <i r="1">
      <x v="3"/>
      <x v="4"/>
    </i>
    <i r="1">
      <x v="4"/>
      <x v="23"/>
    </i>
    <i r="2">
      <x v="83"/>
    </i>
    <i r="2">
      <x v="130"/>
    </i>
    <i r="1">
      <x v="7"/>
      <x v="77"/>
    </i>
    <i r="2">
      <x v="137"/>
    </i>
    <i r="1">
      <x v="9"/>
      <x v="71"/>
    </i>
    <i r="2">
      <x v="78"/>
    </i>
    <i r="2">
      <x v="80"/>
    </i>
    <i r="2">
      <x v="109"/>
    </i>
    <i r="1">
      <x v="13"/>
      <x v="6"/>
    </i>
    <i r="2">
      <x v="13"/>
    </i>
    <i r="2">
      <x v="61"/>
    </i>
    <i r="2">
      <x v="87"/>
    </i>
    <i r="2">
      <x v="93"/>
    </i>
    <i r="1">
      <x v="18"/>
      <x v="3"/>
    </i>
    <i r="2">
      <x v="8"/>
    </i>
    <i r="2">
      <x v="39"/>
    </i>
    <i r="2">
      <x v="48"/>
    </i>
    <i r="2">
      <x v="65"/>
    </i>
    <i r="2">
      <x v="79"/>
    </i>
    <i r="2">
      <x v="81"/>
    </i>
    <i r="2">
      <x v="111"/>
    </i>
    <i r="2">
      <x v="118"/>
    </i>
    <i r="2">
      <x v="127"/>
    </i>
    <i t="blank">
      <x v="22"/>
    </i>
    <i>
      <x v="23"/>
    </i>
    <i r="1">
      <x/>
      <x v="119"/>
    </i>
    <i r="1">
      <x v="1"/>
      <x v="110"/>
    </i>
    <i r="1">
      <x v="2"/>
      <x v="76"/>
    </i>
    <i r="1">
      <x v="3"/>
      <x v="1"/>
    </i>
    <i r="2">
      <x v="14"/>
    </i>
    <i r="2">
      <x v="77"/>
    </i>
    <i r="2">
      <x v="93"/>
    </i>
    <i r="2">
      <x v="118"/>
    </i>
    <i r="1">
      <x v="8"/>
      <x v="128"/>
    </i>
    <i r="1">
      <x v="9"/>
      <x v="11"/>
    </i>
    <i r="2">
      <x v="16"/>
    </i>
    <i r="2">
      <x v="83"/>
    </i>
    <i r="1">
      <x v="12"/>
      <x v="87"/>
    </i>
    <i r="2">
      <x v="91"/>
    </i>
    <i r="1">
      <x v="14"/>
      <x v="3"/>
    </i>
    <i r="2">
      <x v="4"/>
    </i>
    <i r="2">
      <x v="8"/>
    </i>
    <i r="2">
      <x v="48"/>
    </i>
    <i r="2">
      <x v="75"/>
    </i>
    <i r="2">
      <x v="78"/>
    </i>
    <i r="2">
      <x v="85"/>
    </i>
    <i r="2">
      <x v="130"/>
    </i>
    <i r="2">
      <x v="131"/>
    </i>
    <i r="2">
      <x v="137"/>
    </i>
    <i t="blank">
      <x v="23"/>
    </i>
    <i>
      <x v="24"/>
    </i>
    <i r="1">
      <x/>
      <x v="137"/>
    </i>
    <i r="1">
      <x v="1"/>
      <x v="76"/>
    </i>
    <i r="1">
      <x v="2"/>
      <x v="119"/>
    </i>
    <i r="1">
      <x v="3"/>
      <x v="1"/>
    </i>
    <i r="2">
      <x v="4"/>
    </i>
    <i r="2">
      <x v="83"/>
    </i>
    <i r="1">
      <x v="6"/>
      <x v="14"/>
    </i>
    <i r="2">
      <x v="77"/>
    </i>
    <i r="2">
      <x v="128"/>
    </i>
    <i r="1">
      <x v="9"/>
      <x v="110"/>
    </i>
    <i r="1">
      <x v="10"/>
      <x v="118"/>
    </i>
    <i r="1">
      <x v="11"/>
      <x v="3"/>
    </i>
    <i r="2">
      <x v="6"/>
    </i>
    <i r="2">
      <x v="23"/>
    </i>
    <i r="2">
      <x v="74"/>
    </i>
    <i r="2">
      <x v="81"/>
    </i>
    <i r="2">
      <x v="130"/>
    </i>
    <i r="1">
      <x v="17"/>
      <x v="16"/>
    </i>
    <i r="2">
      <x v="29"/>
    </i>
    <i r="2">
      <x v="64"/>
    </i>
    <i r="2">
      <x v="72"/>
    </i>
    <i r="2">
      <x v="75"/>
    </i>
    <i r="2">
      <x v="79"/>
    </i>
    <i r="2">
      <x v="87"/>
    </i>
    <i r="2">
      <x v="93"/>
    </i>
    <i r="2">
      <x v="114"/>
    </i>
    <i r="2">
      <x v="132"/>
    </i>
    <i t="blank">
      <x v="24"/>
    </i>
    <i>
      <x v="25"/>
    </i>
    <i r="1">
      <x/>
      <x v="119"/>
    </i>
    <i r="1">
      <x v="1"/>
      <x v="93"/>
    </i>
    <i r="1">
      <x v="2"/>
      <x v="118"/>
    </i>
    <i r="1">
      <x v="3"/>
      <x v="77"/>
    </i>
    <i r="1">
      <x v="4"/>
      <x v="1"/>
    </i>
    <i r="2">
      <x v="128"/>
    </i>
    <i r="1">
      <x v="6"/>
      <x v="76"/>
    </i>
    <i r="2">
      <x v="112"/>
    </i>
    <i r="2">
      <x v="137"/>
    </i>
    <i r="1">
      <x v="9"/>
      <x v="113"/>
    </i>
    <i r="1">
      <x v="10"/>
      <x v="110"/>
    </i>
    <i r="1">
      <x v="11"/>
      <x v="3"/>
    </i>
    <i r="2">
      <x v="75"/>
    </i>
    <i r="2">
      <x v="87"/>
    </i>
    <i r="2">
      <x v="105"/>
    </i>
    <i r="1">
      <x v="15"/>
      <x v="16"/>
    </i>
    <i r="2">
      <x v="83"/>
    </i>
    <i r="1">
      <x v="17"/>
      <x v="117"/>
    </i>
    <i r="2">
      <x v="130"/>
    </i>
    <i r="1">
      <x v="19"/>
      <x v="14"/>
    </i>
    <i r="2">
      <x v="81"/>
    </i>
    <i r="2">
      <x v="109"/>
    </i>
    <i r="2">
      <x v="127"/>
    </i>
    <i t="blank">
      <x v="25"/>
    </i>
    <i>
      <x v="26"/>
    </i>
    <i r="1">
      <x/>
      <x v="119"/>
    </i>
    <i r="1">
      <x v="1"/>
      <x v="77"/>
    </i>
    <i r="1">
      <x v="2"/>
      <x v="130"/>
    </i>
    <i r="1">
      <x v="3"/>
      <x v="118"/>
    </i>
    <i r="1">
      <x v="4"/>
      <x v="128"/>
    </i>
    <i r="1">
      <x v="5"/>
      <x v="67"/>
    </i>
    <i r="1">
      <x v="6"/>
      <x v="87"/>
    </i>
    <i r="1">
      <x v="7"/>
      <x v="16"/>
    </i>
    <i r="2">
      <x v="110"/>
    </i>
    <i r="2">
      <x v="120"/>
    </i>
    <i r="1">
      <x v="10"/>
      <x v="93"/>
    </i>
    <i r="2">
      <x v="137"/>
    </i>
    <i r="1">
      <x v="12"/>
      <x v="3"/>
    </i>
    <i r="2">
      <x v="81"/>
    </i>
    <i r="1">
      <x v="14"/>
      <x v="1"/>
    </i>
    <i r="2">
      <x v="14"/>
    </i>
    <i r="2">
      <x v="131"/>
    </i>
    <i r="1">
      <x v="17"/>
      <x v="65"/>
    </i>
    <i r="2">
      <x v="69"/>
    </i>
    <i r="2">
      <x v="76"/>
    </i>
    <i r="2">
      <x v="91"/>
    </i>
    <i t="blank">
      <x v="26"/>
    </i>
    <i>
      <x v="27"/>
    </i>
    <i r="1">
      <x/>
      <x v="110"/>
    </i>
    <i r="1">
      <x v="1"/>
      <x v="75"/>
    </i>
    <i r="2">
      <x v="87"/>
    </i>
    <i r="2">
      <x v="106"/>
    </i>
    <i r="2">
      <x v="109"/>
    </i>
    <i r="1">
      <x v="5"/>
      <x v="1"/>
    </i>
    <i r="1">
      <x v="6"/>
      <x v="76"/>
    </i>
    <i r="2">
      <x v="108"/>
    </i>
    <i r="2">
      <x v="118"/>
    </i>
    <i r="1">
      <x v="9"/>
      <x v="111"/>
    </i>
    <i r="2">
      <x v="114"/>
    </i>
    <i r="1">
      <x v="11"/>
      <x v="9"/>
    </i>
    <i r="2">
      <x v="29"/>
    </i>
    <i r="1">
      <x v="13"/>
      <x v="3"/>
    </i>
    <i r="2">
      <x v="4"/>
    </i>
    <i r="2">
      <x v="74"/>
    </i>
    <i r="2">
      <x v="78"/>
    </i>
    <i r="2">
      <x v="93"/>
    </i>
    <i r="2">
      <x v="137"/>
    </i>
    <i r="1">
      <x v="19"/>
      <x v="6"/>
    </i>
    <i r="2">
      <x v="14"/>
    </i>
    <i r="2">
      <x v="16"/>
    </i>
    <i r="2">
      <x v="60"/>
    </i>
    <i r="2">
      <x v="67"/>
    </i>
    <i r="2">
      <x v="80"/>
    </i>
    <i r="2">
      <x v="112"/>
    </i>
    <i r="2">
      <x v="119"/>
    </i>
    <i r="2">
      <x v="136"/>
    </i>
    <i t="blank">
      <x v="27"/>
    </i>
    <i>
      <x v="28"/>
    </i>
    <i r="1">
      <x/>
      <x v="106"/>
    </i>
    <i r="1">
      <x v="1"/>
      <x v="93"/>
    </i>
    <i r="2">
      <x v="119"/>
    </i>
    <i r="1">
      <x v="3"/>
      <x v="110"/>
    </i>
    <i r="1">
      <x v="4"/>
      <x v="4"/>
    </i>
    <i r="1">
      <x v="5"/>
      <x v="112"/>
    </i>
    <i r="2">
      <x v="114"/>
    </i>
    <i r="1">
      <x v="7"/>
      <x v="118"/>
    </i>
    <i r="1">
      <x v="8"/>
      <x v="1"/>
    </i>
    <i r="2">
      <x v="3"/>
    </i>
    <i r="2">
      <x v="29"/>
    </i>
    <i r="2">
      <x v="75"/>
    </i>
    <i r="2">
      <x v="77"/>
    </i>
    <i r="2">
      <x v="83"/>
    </i>
    <i r="1">
      <x v="14"/>
      <x v="16"/>
    </i>
    <i r="2">
      <x v="109"/>
    </i>
    <i r="2">
      <x v="113"/>
    </i>
    <i r="1">
      <x v="17"/>
      <x v="9"/>
    </i>
    <i r="2">
      <x v="59"/>
    </i>
    <i r="2">
      <x v="76"/>
    </i>
    <i r="2">
      <x v="84"/>
    </i>
    <i r="2">
      <x v="111"/>
    </i>
    <i t="blank">
      <x v="28"/>
    </i>
    <i>
      <x v="29"/>
    </i>
    <i r="1">
      <x/>
      <x v="1"/>
    </i>
    <i r="1">
      <x v="1"/>
      <x v="106"/>
    </i>
    <i r="1">
      <x v="2"/>
      <x v="76"/>
    </i>
    <i r="2">
      <x v="83"/>
    </i>
    <i r="2">
      <x v="137"/>
    </i>
    <i r="1">
      <x v="5"/>
      <x v="18"/>
    </i>
    <i r="2">
      <x v="74"/>
    </i>
    <i r="2">
      <x v="104"/>
    </i>
    <i r="2">
      <x v="109"/>
    </i>
    <i r="1">
      <x v="9"/>
      <x v="10"/>
    </i>
    <i r="2">
      <x v="24"/>
    </i>
    <i r="2">
      <x v="48"/>
    </i>
    <i r="2">
      <x v="52"/>
    </i>
    <i r="2">
      <x v="59"/>
    </i>
    <i r="2">
      <x v="63"/>
    </i>
    <i r="2">
      <x v="75"/>
    </i>
    <i r="2">
      <x v="82"/>
    </i>
    <i r="2">
      <x v="87"/>
    </i>
    <i r="2">
      <x v="105"/>
    </i>
    <i r="2">
      <x v="108"/>
    </i>
    <i r="2">
      <x v="110"/>
    </i>
    <i r="2">
      <x v="116"/>
    </i>
    <i r="2">
      <x v="118"/>
    </i>
    <i r="2">
      <x v="130"/>
    </i>
    <i r="2">
      <x v="131"/>
    </i>
    <i r="2">
      <x v="132"/>
    </i>
    <i r="2">
      <x v="133"/>
    </i>
    <i r="2">
      <x v="134"/>
    </i>
    <i r="2">
      <x v="141"/>
    </i>
    <i t="blank">
      <x v="29"/>
    </i>
    <i>
      <x v="30"/>
    </i>
    <i r="1">
      <x/>
      <x v="1"/>
    </i>
    <i r="1">
      <x v="1"/>
      <x v="119"/>
    </i>
    <i r="1">
      <x v="2"/>
      <x v="106"/>
    </i>
    <i r="1">
      <x v="3"/>
      <x v="76"/>
    </i>
    <i r="2">
      <x v="87"/>
    </i>
    <i r="2">
      <x v="110"/>
    </i>
    <i r="1">
      <x v="6"/>
      <x v="4"/>
    </i>
    <i r="2">
      <x v="75"/>
    </i>
    <i r="1">
      <x v="8"/>
      <x v="81"/>
    </i>
    <i r="2">
      <x v="112"/>
    </i>
    <i r="2">
      <x v="118"/>
    </i>
    <i r="1">
      <x v="11"/>
      <x v="67"/>
    </i>
    <i r="2">
      <x v="74"/>
    </i>
    <i r="2">
      <x v="100"/>
    </i>
    <i r="2">
      <x v="109"/>
    </i>
    <i r="2">
      <x v="130"/>
    </i>
    <i r="2">
      <x v="137"/>
    </i>
    <i r="1">
      <x v="17"/>
      <x v="3"/>
    </i>
    <i r="2">
      <x v="16"/>
    </i>
    <i r="2">
      <x v="29"/>
    </i>
    <i r="2">
      <x v="59"/>
    </i>
    <i r="2">
      <x v="78"/>
    </i>
    <i r="2">
      <x v="92"/>
    </i>
    <i r="2">
      <x v="114"/>
    </i>
    <i r="2">
      <x v="128"/>
    </i>
    <i r="2">
      <x v="132"/>
    </i>
    <i t="blank">
      <x v="30"/>
    </i>
    <i>
      <x v="31"/>
    </i>
    <i r="1">
      <x/>
      <x v="110"/>
    </i>
    <i r="1">
      <x v="1"/>
      <x v="1"/>
    </i>
    <i r="1">
      <x v="2"/>
      <x v="4"/>
    </i>
    <i r="1">
      <x v="3"/>
      <x v="118"/>
    </i>
    <i r="2">
      <x v="119"/>
    </i>
    <i r="1">
      <x v="5"/>
      <x v="76"/>
    </i>
    <i r="2">
      <x v="77"/>
    </i>
    <i r="1">
      <x v="7"/>
      <x v="3"/>
    </i>
    <i r="2">
      <x v="32"/>
    </i>
    <i r="2">
      <x v="87"/>
    </i>
    <i r="2">
      <x v="111"/>
    </i>
    <i r="1">
      <x v="11"/>
      <x v="6"/>
    </i>
    <i r="2">
      <x v="10"/>
    </i>
    <i r="2">
      <x v="22"/>
    </i>
    <i r="2">
      <x v="43"/>
    </i>
    <i r="2">
      <x v="80"/>
    </i>
    <i r="2">
      <x v="83"/>
    </i>
    <i r="2">
      <x v="109"/>
    </i>
    <i r="2">
      <x v="112"/>
    </i>
    <i r="2">
      <x v="137"/>
    </i>
    <i r="2">
      <x v="141"/>
    </i>
    <i t="blank">
      <x v="31"/>
    </i>
    <i>
      <x v="32"/>
    </i>
    <i r="1">
      <x/>
      <x v="110"/>
    </i>
    <i r="1">
      <x v="1"/>
      <x v="1"/>
    </i>
    <i r="1">
      <x v="2"/>
      <x v="114"/>
    </i>
    <i r="1">
      <x v="3"/>
      <x v="106"/>
    </i>
    <i r="1">
      <x v="4"/>
      <x v="119"/>
    </i>
    <i r="1">
      <x v="5"/>
      <x v="75"/>
    </i>
    <i r="2">
      <x v="76"/>
    </i>
    <i r="1">
      <x v="7"/>
      <x v="137"/>
    </i>
    <i r="1">
      <x v="8"/>
      <x v="87"/>
    </i>
    <i r="2">
      <x v="118"/>
    </i>
    <i r="1">
      <x v="10"/>
      <x v="77"/>
    </i>
    <i r="2">
      <x v="93"/>
    </i>
    <i r="2">
      <x v="111"/>
    </i>
    <i r="1">
      <x v="13"/>
      <x v="3"/>
    </i>
    <i r="1">
      <x v="14"/>
      <x v="83"/>
    </i>
    <i r="2">
      <x v="130"/>
    </i>
    <i r="1">
      <x v="16"/>
      <x v="50"/>
    </i>
    <i r="2">
      <x v="67"/>
    </i>
    <i r="2">
      <x v="79"/>
    </i>
    <i r="2">
      <x v="107"/>
    </i>
    <i r="2">
      <x v="109"/>
    </i>
    <i r="2">
      <x v="115"/>
    </i>
    <i r="2">
      <x v="128"/>
    </i>
    <i t="blank">
      <x v="32"/>
    </i>
    <i>
      <x v="33"/>
    </i>
    <i r="1">
      <x/>
      <x v="1"/>
    </i>
    <i r="1">
      <x v="1"/>
      <x v="77"/>
    </i>
    <i r="1">
      <x v="2"/>
      <x v="118"/>
    </i>
    <i r="2">
      <x v="119"/>
    </i>
    <i r="1">
      <x v="4"/>
      <x v="4"/>
    </i>
    <i r="2">
      <x v="137"/>
    </i>
    <i r="1">
      <x v="6"/>
      <x v="76"/>
    </i>
    <i r="1">
      <x v="7"/>
      <x v="3"/>
    </i>
    <i r="1">
      <x v="8"/>
      <x v="14"/>
    </i>
    <i r="1">
      <x v="9"/>
      <x v="11"/>
    </i>
    <i r="2">
      <x v="13"/>
    </i>
    <i r="2">
      <x v="16"/>
    </i>
    <i r="2">
      <x v="83"/>
    </i>
    <i r="2">
      <x v="87"/>
    </i>
    <i r="2">
      <x v="91"/>
    </i>
    <i r="2">
      <x v="109"/>
    </i>
    <i r="2">
      <x v="110"/>
    </i>
    <i r="1">
      <x v="17"/>
      <x v="12"/>
    </i>
    <i r="2">
      <x v="61"/>
    </i>
    <i r="2">
      <x v="75"/>
    </i>
    <i r="2">
      <x v="93"/>
    </i>
    <i r="2">
      <x v="117"/>
    </i>
    <i r="2">
      <x v="128"/>
    </i>
    <i r="2">
      <x v="130"/>
    </i>
    <i t="blank">
      <x v="33"/>
    </i>
    <i>
      <x v="34"/>
    </i>
    <i r="1">
      <x/>
      <x v="93"/>
    </i>
    <i r="1">
      <x v="1"/>
      <x v="67"/>
    </i>
    <i r="1">
      <x v="2"/>
      <x v="77"/>
    </i>
    <i r="1">
      <x v="3"/>
      <x v="1"/>
    </i>
    <i r="1">
      <x v="4"/>
      <x v="69"/>
    </i>
    <i r="2">
      <x v="87"/>
    </i>
    <i r="1">
      <x v="6"/>
      <x v="118"/>
    </i>
    <i r="2">
      <x v="119"/>
    </i>
    <i r="1">
      <x v="8"/>
      <x v="4"/>
    </i>
    <i r="2">
      <x v="75"/>
    </i>
    <i r="1">
      <x v="10"/>
      <x v="61"/>
    </i>
    <i r="2">
      <x v="68"/>
    </i>
    <i r="2">
      <x v="78"/>
    </i>
    <i r="2">
      <x v="83"/>
    </i>
    <i r="2">
      <x v="86"/>
    </i>
    <i r="2">
      <x v="110"/>
    </i>
    <i r="2">
      <x v="123"/>
    </i>
    <i r="1">
      <x v="17"/>
      <x v="14"/>
    </i>
    <i r="2">
      <x v="91"/>
    </i>
    <i r="2">
      <x v="112"/>
    </i>
    <i r="2">
      <x v="128"/>
    </i>
    <i r="2">
      <x v="137"/>
    </i>
    <i t="blank">
      <x v="34"/>
    </i>
    <i>
      <x v="35"/>
    </i>
    <i r="1">
      <x/>
      <x v="1"/>
    </i>
    <i r="1">
      <x v="1"/>
      <x v="119"/>
    </i>
    <i r="1">
      <x v="2"/>
      <x v="4"/>
    </i>
    <i r="1">
      <x v="3"/>
      <x v="77"/>
    </i>
    <i r="2">
      <x v="130"/>
    </i>
    <i r="1">
      <x v="5"/>
      <x v="128"/>
    </i>
    <i r="2">
      <x v="137"/>
    </i>
    <i r="1">
      <x v="7"/>
      <x v="3"/>
    </i>
    <i r="2">
      <x v="93"/>
    </i>
    <i r="1">
      <x v="9"/>
      <x v="11"/>
    </i>
    <i r="2">
      <x v="14"/>
    </i>
    <i r="2">
      <x v="118"/>
    </i>
    <i r="1">
      <x v="12"/>
      <x v="81"/>
    </i>
    <i r="2">
      <x v="83"/>
    </i>
    <i r="2">
      <x v="91"/>
    </i>
    <i r="1">
      <x v="15"/>
      <x v="13"/>
    </i>
    <i r="2">
      <x v="16"/>
    </i>
    <i r="1">
      <x v="17"/>
      <x v="9"/>
    </i>
    <i r="1">
      <x v="18"/>
      <x v="64"/>
    </i>
    <i r="2">
      <x v="88"/>
    </i>
    <i t="blank">
      <x v="35"/>
    </i>
    <i>
      <x v="36"/>
    </i>
    <i r="1">
      <x/>
      <x v="119"/>
    </i>
    <i r="1">
      <x v="1"/>
      <x v="118"/>
    </i>
    <i r="1">
      <x v="2"/>
      <x v="1"/>
    </i>
    <i r="2">
      <x v="137"/>
    </i>
    <i r="1">
      <x v="4"/>
      <x v="3"/>
    </i>
    <i r="2">
      <x v="76"/>
    </i>
    <i r="1">
      <x v="6"/>
      <x v="13"/>
    </i>
    <i r="2">
      <x v="16"/>
    </i>
    <i r="2">
      <x v="77"/>
    </i>
    <i r="2">
      <x v="87"/>
    </i>
    <i r="2">
      <x v="93"/>
    </i>
    <i r="2">
      <x v="110"/>
    </i>
    <i r="1">
      <x v="12"/>
      <x v="4"/>
    </i>
    <i r="2">
      <x v="43"/>
    </i>
    <i r="1">
      <x v="14"/>
      <x v="7"/>
    </i>
    <i r="2">
      <x v="9"/>
    </i>
    <i r="2">
      <x v="59"/>
    </i>
    <i r="2">
      <x v="61"/>
    </i>
    <i r="2">
      <x v="65"/>
    </i>
    <i r="2">
      <x v="78"/>
    </i>
    <i r="2">
      <x v="83"/>
    </i>
    <i r="2">
      <x v="133"/>
    </i>
    <i t="blank">
      <x v="36"/>
    </i>
    <i>
      <x v="37"/>
    </i>
    <i r="1">
      <x/>
      <x v="76"/>
    </i>
    <i r="1">
      <x v="1"/>
      <x v="118"/>
    </i>
    <i r="1">
      <x v="2"/>
      <x v="112"/>
    </i>
    <i r="1">
      <x v="3"/>
      <x v="110"/>
    </i>
    <i r="2">
      <x v="119"/>
    </i>
    <i r="1">
      <x v="5"/>
      <x v="1"/>
    </i>
    <i r="2">
      <x v="93"/>
    </i>
    <i r="1">
      <x v="7"/>
      <x v="77"/>
    </i>
    <i r="1">
      <x v="8"/>
      <x v="109"/>
    </i>
    <i r="2">
      <x v="113"/>
    </i>
    <i r="1">
      <x v="10"/>
      <x v="83"/>
    </i>
    <i r="1">
      <x v="11"/>
      <x v="87"/>
    </i>
    <i r="1">
      <x v="12"/>
      <x v="74"/>
    </i>
    <i r="2">
      <x v="137"/>
    </i>
    <i r="1">
      <x v="14"/>
      <x v="3"/>
    </i>
    <i r="2">
      <x v="4"/>
    </i>
    <i r="2">
      <x v="100"/>
    </i>
    <i r="1">
      <x v="17"/>
      <x v="82"/>
    </i>
    <i r="2">
      <x v="132"/>
    </i>
    <i r="1">
      <x v="19"/>
      <x v="16"/>
    </i>
    <i r="2">
      <x v="59"/>
    </i>
    <i r="2">
      <x v="61"/>
    </i>
    <i r="2">
      <x v="70"/>
    </i>
    <i r="2">
      <x v="78"/>
    </i>
    <i r="2">
      <x v="106"/>
    </i>
    <i r="2">
      <x v="111"/>
    </i>
    <i r="2">
      <x v="133"/>
    </i>
    <i t="blank">
      <x v="37"/>
    </i>
    <i>
      <x v="38"/>
    </i>
    <i r="1">
      <x/>
      <x v="119"/>
    </i>
    <i r="1">
      <x v="1"/>
      <x v="1"/>
    </i>
    <i r="1">
      <x v="2"/>
      <x v="4"/>
    </i>
    <i r="2">
      <x v="137"/>
    </i>
    <i r="1">
      <x v="4"/>
      <x v="3"/>
    </i>
    <i r="2">
      <x v="14"/>
    </i>
    <i r="2">
      <x v="77"/>
    </i>
    <i r="2">
      <x v="118"/>
    </i>
    <i r="2">
      <x v="130"/>
    </i>
    <i r="1">
      <x v="9"/>
      <x v="128"/>
    </i>
    <i r="2">
      <x v="132"/>
    </i>
    <i r="1">
      <x v="11"/>
      <x v="59"/>
    </i>
    <i r="2">
      <x v="76"/>
    </i>
    <i r="2">
      <x v="110"/>
    </i>
    <i r="1">
      <x v="14"/>
      <x v="87"/>
    </i>
    <i r="2">
      <x v="93"/>
    </i>
    <i r="2">
      <x v="112"/>
    </i>
    <i r="1">
      <x v="17"/>
      <x v="140"/>
    </i>
    <i r="1">
      <x v="18"/>
      <x v="16"/>
    </i>
    <i r="2">
      <x v="19"/>
    </i>
    <i r="2">
      <x v="46"/>
    </i>
    <i r="2">
      <x v="51"/>
    </i>
    <i r="2">
      <x v="65"/>
    </i>
    <i r="2">
      <x v="74"/>
    </i>
    <i r="2">
      <x v="80"/>
    </i>
    <i r="2">
      <x v="82"/>
    </i>
    <i r="2">
      <x v="91"/>
    </i>
    <i r="2">
      <x v="105"/>
    </i>
    <i r="2">
      <x v="114"/>
    </i>
    <i r="2">
      <x v="127"/>
    </i>
    <i r="2">
      <x v="129"/>
    </i>
    <i r="2">
      <x v="131"/>
    </i>
    <i r="2">
      <x v="138"/>
    </i>
    <i t="blank">
      <x v="38"/>
    </i>
    <i>
      <x v="39"/>
    </i>
    <i r="1">
      <x/>
      <x v="119"/>
    </i>
    <i r="1">
      <x v="1"/>
      <x v="118"/>
    </i>
    <i r="1">
      <x v="2"/>
      <x v="137"/>
    </i>
    <i r="1">
      <x v="3"/>
      <x v="14"/>
    </i>
    <i r="2">
      <x v="76"/>
    </i>
    <i r="1">
      <x v="5"/>
      <x v="1"/>
    </i>
    <i r="2">
      <x v="112"/>
    </i>
    <i r="1">
      <x v="7"/>
      <x v="130"/>
    </i>
    <i r="1">
      <x v="8"/>
      <x v="77"/>
    </i>
    <i r="2">
      <x v="81"/>
    </i>
    <i r="1">
      <x v="10"/>
      <x v="4"/>
    </i>
    <i r="1">
      <x v="11"/>
      <x v="74"/>
    </i>
    <i r="2">
      <x v="83"/>
    </i>
    <i r="2">
      <x v="87"/>
    </i>
    <i r="2">
      <x v="110"/>
    </i>
    <i r="2">
      <x v="132"/>
    </i>
    <i r="1">
      <x v="16"/>
      <x v="16"/>
    </i>
    <i r="2">
      <x v="78"/>
    </i>
    <i r="2">
      <x v="93"/>
    </i>
    <i r="2">
      <x v="133"/>
    </i>
    <i t="blank">
      <x v="39"/>
    </i>
    <i>
      <x v="40"/>
    </i>
    <i r="1">
      <x/>
      <x v="119"/>
    </i>
    <i r="1">
      <x v="1"/>
      <x v="118"/>
    </i>
    <i r="2">
      <x v="130"/>
    </i>
    <i r="1">
      <x v="3"/>
      <x v="1"/>
    </i>
    <i r="2">
      <x v="38"/>
    </i>
    <i r="2">
      <x v="76"/>
    </i>
    <i r="2">
      <x v="77"/>
    </i>
    <i r="2">
      <x v="137"/>
    </i>
    <i r="1">
      <x v="8"/>
      <x v="14"/>
    </i>
    <i r="2">
      <x v="19"/>
    </i>
    <i r="2">
      <x v="37"/>
    </i>
    <i r="2">
      <x v="43"/>
    </i>
    <i r="2">
      <x v="71"/>
    </i>
    <i r="2">
      <x v="78"/>
    </i>
    <i r="2">
      <x v="83"/>
    </i>
    <i r="2">
      <x v="89"/>
    </i>
    <i r="2">
      <x v="110"/>
    </i>
    <i r="1">
      <x v="17"/>
      <x v="3"/>
    </i>
    <i r="2">
      <x v="4"/>
    </i>
    <i r="2">
      <x v="6"/>
    </i>
    <i r="2">
      <x v="13"/>
    </i>
    <i r="2">
      <x v="15"/>
    </i>
    <i r="2">
      <x v="16"/>
    </i>
    <i r="2">
      <x v="17"/>
    </i>
    <i r="2">
      <x v="29"/>
    </i>
    <i r="2">
      <x v="36"/>
    </i>
    <i r="2">
      <x v="44"/>
    </i>
    <i r="2">
      <x v="45"/>
    </i>
    <i r="2">
      <x v="49"/>
    </i>
    <i r="2">
      <x v="53"/>
    </i>
    <i r="2">
      <x v="57"/>
    </i>
    <i r="2">
      <x v="59"/>
    </i>
    <i r="2">
      <x v="61"/>
    </i>
    <i r="2">
      <x v="67"/>
    </i>
    <i r="2">
      <x v="70"/>
    </i>
    <i r="2">
      <x v="74"/>
    </i>
    <i r="2">
      <x v="90"/>
    </i>
    <i r="2">
      <x v="96"/>
    </i>
    <i r="2">
      <x v="103"/>
    </i>
    <i r="2">
      <x v="112"/>
    </i>
    <i r="2">
      <x v="113"/>
    </i>
    <i r="2">
      <x v="117"/>
    </i>
    <i r="2">
      <x v="126"/>
    </i>
    <i r="2">
      <x v="128"/>
    </i>
    <i r="2">
      <x v="135"/>
    </i>
    <i r="2">
      <x v="141"/>
    </i>
    <i r="2">
      <x v="142"/>
    </i>
    <i t="blank">
      <x v="40"/>
    </i>
    <i>
      <x v="41"/>
    </i>
    <i r="1">
      <x/>
      <x v="119"/>
    </i>
    <i r="1">
      <x v="1"/>
      <x v="77"/>
    </i>
    <i r="1">
      <x v="2"/>
      <x v="137"/>
    </i>
    <i r="1">
      <x v="3"/>
      <x v="130"/>
    </i>
    <i r="1">
      <x v="4"/>
      <x v="1"/>
    </i>
    <i r="2">
      <x v="14"/>
    </i>
    <i r="2">
      <x v="110"/>
    </i>
    <i r="1">
      <x v="7"/>
      <x v="26"/>
    </i>
    <i r="2">
      <x v="67"/>
    </i>
    <i r="2">
      <x v="74"/>
    </i>
    <i r="2">
      <x v="76"/>
    </i>
    <i r="2">
      <x v="118"/>
    </i>
    <i r="1">
      <x v="12"/>
      <x v="47"/>
    </i>
    <i r="2">
      <x v="87"/>
    </i>
    <i r="2">
      <x v="104"/>
    </i>
    <i r="2">
      <x v="123"/>
    </i>
    <i r="1">
      <x v="16"/>
      <x v="3"/>
    </i>
    <i r="2">
      <x v="4"/>
    </i>
    <i r="2">
      <x v="68"/>
    </i>
    <i r="2">
      <x v="69"/>
    </i>
    <i r="2">
      <x v="79"/>
    </i>
    <i r="2">
      <x v="80"/>
    </i>
    <i r="2">
      <x v="83"/>
    </i>
    <i r="2">
      <x v="105"/>
    </i>
    <i r="2">
      <x v="112"/>
    </i>
    <i r="2">
      <x v="122"/>
    </i>
    <i r="2">
      <x v="128"/>
    </i>
    <i r="2">
      <x v="129"/>
    </i>
    <i t="blank">
      <x v="41"/>
    </i>
    <i>
      <x v="42"/>
    </i>
    <i r="1">
      <x/>
      <x v="118"/>
    </i>
    <i r="1">
      <x v="1"/>
      <x v="119"/>
    </i>
    <i r="1">
      <x v="2"/>
      <x v="113"/>
    </i>
    <i r="1">
      <x v="3"/>
      <x v="112"/>
    </i>
    <i r="1">
      <x v="4"/>
      <x v="14"/>
    </i>
    <i r="2">
      <x v="77"/>
    </i>
    <i r="2">
      <x v="83"/>
    </i>
    <i r="2">
      <x v="105"/>
    </i>
    <i r="2">
      <x v="128"/>
    </i>
    <i r="1">
      <x v="9"/>
      <x v="4"/>
    </i>
    <i r="2">
      <x v="29"/>
    </i>
    <i r="2">
      <x v="87"/>
    </i>
    <i r="2">
      <x v="117"/>
    </i>
    <i r="2">
      <x v="137"/>
    </i>
    <i r="1">
      <x v="14"/>
      <x v="25"/>
    </i>
    <i r="2">
      <x v="81"/>
    </i>
    <i r="2">
      <x v="104"/>
    </i>
    <i r="2">
      <x v="110"/>
    </i>
    <i r="1">
      <x v="18"/>
      <x v="1"/>
    </i>
    <i r="2">
      <x v="10"/>
    </i>
    <i r="2">
      <x v="23"/>
    </i>
    <i r="2">
      <x v="33"/>
    </i>
    <i r="2">
      <x v="34"/>
    </i>
    <i r="2">
      <x v="61"/>
    </i>
    <i r="2">
      <x v="76"/>
    </i>
    <i r="2">
      <x v="86"/>
    </i>
    <i r="2">
      <x v="109"/>
    </i>
    <i r="2">
      <x v="123"/>
    </i>
    <i t="blank">
      <x v="42"/>
    </i>
    <i>
      <x v="43"/>
    </i>
    <i r="1">
      <x/>
      <x v="119"/>
    </i>
    <i r="1">
      <x v="1"/>
      <x v="29"/>
    </i>
    <i r="2">
      <x v="128"/>
    </i>
    <i r="1">
      <x v="3"/>
      <x v="118"/>
    </i>
    <i r="1">
      <x v="4"/>
      <x v="3"/>
    </i>
    <i r="2">
      <x v="67"/>
    </i>
    <i r="2">
      <x v="74"/>
    </i>
    <i r="2">
      <x v="76"/>
    </i>
    <i r="2">
      <x v="80"/>
    </i>
    <i r="2">
      <x v="84"/>
    </i>
    <i r="2">
      <x v="137"/>
    </i>
    <i r="1">
      <x v="11"/>
      <x v="1"/>
    </i>
    <i r="2">
      <x v="117"/>
    </i>
    <i r="1">
      <x v="13"/>
      <x v="4"/>
    </i>
    <i r="2">
      <x v="5"/>
    </i>
    <i r="2">
      <x v="10"/>
    </i>
    <i r="2">
      <x v="20"/>
    </i>
    <i r="2">
      <x v="25"/>
    </i>
    <i r="2">
      <x v="75"/>
    </i>
    <i r="2">
      <x v="78"/>
    </i>
    <i r="2">
      <x v="83"/>
    </i>
    <i r="2">
      <x v="87"/>
    </i>
    <i r="2">
      <x v="112"/>
    </i>
    <i r="2">
      <x v="113"/>
    </i>
    <i r="2">
      <x v="114"/>
    </i>
    <i r="2">
      <x v="116"/>
    </i>
    <i r="2">
      <x v="122"/>
    </i>
    <i t="blank">
      <x v="43"/>
    </i>
    <i>
      <x v="44"/>
    </i>
    <i r="1">
      <x/>
      <x v="106"/>
    </i>
    <i r="1">
      <x v="1"/>
      <x v="119"/>
    </i>
    <i r="1">
      <x v="2"/>
      <x v="76"/>
    </i>
    <i r="1">
      <x v="3"/>
      <x v="70"/>
    </i>
    <i r="2">
      <x v="74"/>
    </i>
    <i r="2">
      <x v="109"/>
    </i>
    <i r="2">
      <x v="114"/>
    </i>
    <i r="2">
      <x v="118"/>
    </i>
    <i r="2">
      <x v="124"/>
    </i>
    <i r="2">
      <x v="130"/>
    </i>
    <i r="1">
      <x v="10"/>
      <x v="1"/>
    </i>
    <i r="2">
      <x v="3"/>
    </i>
    <i r="2">
      <x v="8"/>
    </i>
    <i r="2">
      <x v="9"/>
    </i>
    <i r="2">
      <x v="11"/>
    </i>
    <i r="2">
      <x v="14"/>
    </i>
    <i r="2">
      <x v="23"/>
    </i>
    <i r="2">
      <x v="25"/>
    </i>
    <i r="2">
      <x v="26"/>
    </i>
    <i r="2">
      <x v="29"/>
    </i>
    <i r="2">
      <x v="31"/>
    </i>
    <i r="2">
      <x v="46"/>
    </i>
    <i r="2">
      <x v="49"/>
    </i>
    <i r="2">
      <x v="50"/>
    </i>
    <i r="2">
      <x v="59"/>
    </i>
    <i r="2">
      <x v="67"/>
    </i>
    <i r="2">
      <x v="75"/>
    </i>
    <i r="2">
      <x v="77"/>
    </i>
    <i r="2">
      <x v="81"/>
    </i>
    <i r="2">
      <x v="82"/>
    </i>
    <i r="2">
      <x v="83"/>
    </i>
    <i r="2">
      <x v="87"/>
    </i>
    <i r="2">
      <x v="98"/>
    </i>
    <i r="2">
      <x v="99"/>
    </i>
    <i r="2">
      <x v="112"/>
    </i>
    <i r="2">
      <x v="121"/>
    </i>
    <i r="2">
      <x v="127"/>
    </i>
    <i r="2">
      <x v="128"/>
    </i>
    <i r="2">
      <x v="129"/>
    </i>
    <i r="2">
      <x v="136"/>
    </i>
    <i t="blank">
      <x v="44"/>
    </i>
    <i>
      <x v="45"/>
    </i>
    <i r="1">
      <x/>
      <x v="1"/>
    </i>
    <i r="1">
      <x v="1"/>
      <x v="119"/>
    </i>
    <i r="1">
      <x v="2"/>
      <x v="77"/>
    </i>
    <i r="2">
      <x v="87"/>
    </i>
    <i r="2">
      <x v="118"/>
    </i>
    <i r="1">
      <x v="5"/>
      <x v="4"/>
    </i>
    <i r="2">
      <x v="26"/>
    </i>
    <i r="2">
      <x v="27"/>
    </i>
    <i r="2">
      <x v="29"/>
    </i>
    <i r="2">
      <x v="70"/>
    </i>
    <i r="2">
      <x v="76"/>
    </i>
    <i r="2">
      <x v="83"/>
    </i>
    <i r="2">
      <x v="137"/>
    </i>
    <i r="1">
      <x v="13"/>
      <x v="3"/>
    </i>
    <i r="2">
      <x v="5"/>
    </i>
    <i r="2">
      <x v="6"/>
    </i>
    <i r="2">
      <x v="11"/>
    </i>
    <i r="2">
      <x v="14"/>
    </i>
    <i r="2">
      <x v="20"/>
    </i>
    <i r="2">
      <x v="36"/>
    </i>
    <i r="2">
      <x v="42"/>
    </i>
    <i r="2">
      <x v="74"/>
    </i>
    <i r="2">
      <x v="96"/>
    </i>
    <i r="2">
      <x v="127"/>
    </i>
    <i r="2">
      <x v="128"/>
    </i>
    <i r="2">
      <x v="130"/>
    </i>
    <i t="blank">
      <x v="45"/>
    </i>
    <i>
      <x v="46"/>
    </i>
    <i r="1">
      <x/>
      <x v="1"/>
    </i>
    <i r="2">
      <x v="70"/>
    </i>
    <i r="2">
      <x v="105"/>
    </i>
    <i r="2">
      <x v="106"/>
    </i>
    <i r="1">
      <x v="4"/>
      <x v="76"/>
    </i>
    <i r="2">
      <x v="118"/>
    </i>
    <i r="1">
      <x v="6"/>
      <x v="4"/>
    </i>
    <i r="2">
      <x v="6"/>
    </i>
    <i r="2">
      <x v="23"/>
    </i>
    <i r="2">
      <x v="26"/>
    </i>
    <i r="2">
      <x v="60"/>
    </i>
    <i r="2">
      <x v="77"/>
    </i>
    <i r="2">
      <x v="83"/>
    </i>
    <i r="2">
      <x v="93"/>
    </i>
    <i r="2">
      <x v="95"/>
    </i>
    <i r="2">
      <x v="103"/>
    </i>
    <i r="2">
      <x v="111"/>
    </i>
    <i r="2">
      <x v="112"/>
    </i>
    <i r="2">
      <x v="114"/>
    </i>
    <i r="2">
      <x v="119"/>
    </i>
    <i r="2">
      <x v="139"/>
    </i>
    <i t="blank">
      <x v="46"/>
    </i>
    <i>
      <x v="47"/>
    </i>
    <i r="1">
      <x/>
      <x v="4"/>
    </i>
    <i r="2">
      <x v="119"/>
    </i>
    <i r="1">
      <x v="2"/>
      <x v="83"/>
    </i>
    <i r="1">
      <x v="3"/>
      <x v="3"/>
    </i>
    <i r="2">
      <x v="11"/>
    </i>
    <i r="2">
      <x v="16"/>
    </i>
    <i r="2">
      <x v="137"/>
    </i>
    <i r="1">
      <x v="7"/>
      <x/>
    </i>
    <i r="2">
      <x v="1"/>
    </i>
    <i r="2">
      <x v="7"/>
    </i>
    <i r="2">
      <x v="9"/>
    </i>
    <i r="2">
      <x v="14"/>
    </i>
    <i r="2">
      <x v="17"/>
    </i>
    <i r="2">
      <x v="22"/>
    </i>
    <i r="2">
      <x v="24"/>
    </i>
    <i r="2">
      <x v="28"/>
    </i>
    <i r="2">
      <x v="29"/>
    </i>
    <i r="2">
      <x v="41"/>
    </i>
    <i r="2">
      <x v="49"/>
    </i>
    <i r="2">
      <x v="54"/>
    </i>
    <i r="2">
      <x v="55"/>
    </i>
    <i r="2">
      <x v="58"/>
    </i>
    <i r="2">
      <x v="64"/>
    </i>
    <i r="2">
      <x v="66"/>
    </i>
    <i r="2">
      <x v="74"/>
    </i>
    <i r="2">
      <x v="75"/>
    </i>
    <i r="2">
      <x v="77"/>
    </i>
    <i r="2">
      <x v="78"/>
    </i>
    <i r="2">
      <x v="79"/>
    </i>
    <i r="2">
      <x v="93"/>
    </i>
    <i r="2">
      <x v="100"/>
    </i>
    <i r="2">
      <x v="103"/>
    </i>
    <i r="2">
      <x v="106"/>
    </i>
    <i r="2">
      <x v="110"/>
    </i>
    <i r="2">
      <x v="118"/>
    </i>
    <i r="2">
      <x v="120"/>
    </i>
    <i r="2">
      <x v="126"/>
    </i>
    <i r="2">
      <x v="130"/>
    </i>
    <i t="blank">
      <x v="47"/>
    </i>
    <i>
      <x v="48"/>
    </i>
    <i r="1">
      <x/>
      <x v="4"/>
    </i>
    <i r="1">
      <x v="1"/>
      <x v="9"/>
    </i>
    <i r="2">
      <x v="40"/>
    </i>
    <i r="2">
      <x v="74"/>
    </i>
    <i r="2">
      <x v="83"/>
    </i>
    <i r="1">
      <x v="5"/>
      <x v="3"/>
    </i>
    <i r="2">
      <x v="6"/>
    </i>
    <i r="2">
      <x v="10"/>
    </i>
    <i r="2">
      <x v="14"/>
    </i>
    <i r="2">
      <x v="18"/>
    </i>
    <i r="2">
      <x v="26"/>
    </i>
    <i r="2">
      <x v="29"/>
    </i>
    <i r="2">
      <x v="30"/>
    </i>
    <i r="2">
      <x v="62"/>
    </i>
    <i r="2">
      <x v="65"/>
    </i>
    <i r="2">
      <x v="76"/>
    </i>
    <i r="2">
      <x v="87"/>
    </i>
    <i r="2">
      <x v="93"/>
    </i>
    <i r="2">
      <x v="105"/>
    </i>
    <i r="2">
      <x v="118"/>
    </i>
    <i r="2">
      <x v="119"/>
    </i>
    <i r="2">
      <x v="125"/>
    </i>
    <i r="2">
      <x v="126"/>
    </i>
    <i r="2">
      <x v="128"/>
    </i>
    <i r="2">
      <x v="135"/>
    </i>
    <i r="2">
      <x v="137"/>
    </i>
    <i t="blank">
      <x v="48"/>
    </i>
    <i>
      <x v="49"/>
    </i>
    <i r="1">
      <x/>
      <x v="119"/>
    </i>
    <i r="1">
      <x v="1"/>
      <x v="118"/>
    </i>
    <i r="1">
      <x v="2"/>
      <x v="113"/>
    </i>
    <i r="1">
      <x v="3"/>
      <x v="77"/>
    </i>
    <i r="2">
      <x v="112"/>
    </i>
    <i r="1">
      <x v="5"/>
      <x v="130"/>
    </i>
    <i r="1">
      <x v="6"/>
      <x v="1"/>
    </i>
    <i r="1">
      <x v="7"/>
      <x v="76"/>
    </i>
    <i r="2">
      <x v="110"/>
    </i>
    <i r="1">
      <x v="9"/>
      <x v="29"/>
    </i>
    <i r="2">
      <x v="137"/>
    </i>
    <i r="1">
      <x v="11"/>
      <x v="4"/>
    </i>
    <i r="2">
      <x v="14"/>
    </i>
    <i r="2">
      <x v="81"/>
    </i>
    <i r="2">
      <x v="83"/>
    </i>
    <i r="2">
      <x v="87"/>
    </i>
    <i r="1">
      <x v="16"/>
      <x v="8"/>
    </i>
    <i r="2">
      <x v="80"/>
    </i>
    <i r="2">
      <x v="86"/>
    </i>
    <i r="2">
      <x v="105"/>
    </i>
    <i r="2">
      <x v="117"/>
    </i>
    <i t="blank">
      <x v="49"/>
    </i>
    <i>
      <x v="50"/>
    </i>
    <i r="1">
      <x/>
      <x v="119"/>
    </i>
    <i r="1">
      <x v="1"/>
      <x v="1"/>
    </i>
    <i r="1">
      <x v="2"/>
      <x v="118"/>
    </i>
    <i r="1">
      <x v="3"/>
      <x v="77"/>
    </i>
    <i r="1">
      <x v="4"/>
      <x v="76"/>
    </i>
    <i r="1">
      <x v="5"/>
      <x v="79"/>
    </i>
    <i r="2">
      <x v="126"/>
    </i>
    <i r="1">
      <x v="7"/>
      <x v="14"/>
    </i>
    <i r="2">
      <x v="75"/>
    </i>
    <i r="2">
      <x v="112"/>
    </i>
    <i r="2">
      <x v="137"/>
    </i>
    <i r="1">
      <x v="11"/>
      <x v="6"/>
    </i>
    <i r="2">
      <x v="74"/>
    </i>
    <i r="2">
      <x v="83"/>
    </i>
    <i r="2">
      <x v="87"/>
    </i>
    <i r="2">
      <x v="106"/>
    </i>
    <i r="2">
      <x v="110"/>
    </i>
    <i r="2">
      <x v="116"/>
    </i>
    <i r="1">
      <x v="18"/>
      <x v="4"/>
    </i>
    <i r="2">
      <x v="9"/>
    </i>
    <i r="2">
      <x v="16"/>
    </i>
    <i r="2">
      <x v="55"/>
    </i>
    <i r="2">
      <x v="78"/>
    </i>
    <i r="2">
      <x v="80"/>
    </i>
    <i r="2">
      <x v="81"/>
    </i>
    <i r="2">
      <x v="82"/>
    </i>
    <i r="2">
      <x v="109"/>
    </i>
    <i r="2">
      <x v="133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730">
      <pivotArea field="2" type="button" dataOnly="0" labelOnly="1" outline="0" axis="axisRow" fieldPosition="0"/>
    </format>
    <format dxfId="729">
      <pivotArea outline="0" fieldPosition="0">
        <references count="1">
          <reference field="4294967294" count="1">
            <x v="0"/>
          </reference>
        </references>
      </pivotArea>
    </format>
    <format dxfId="728">
      <pivotArea outline="0" fieldPosition="0">
        <references count="1">
          <reference field="4294967294" count="1">
            <x v="1"/>
          </reference>
        </references>
      </pivotArea>
    </format>
    <format dxfId="727">
      <pivotArea outline="0" fieldPosition="0">
        <references count="1">
          <reference field="4294967294" count="1">
            <x v="2"/>
          </reference>
        </references>
      </pivotArea>
    </format>
    <format dxfId="726">
      <pivotArea outline="0" fieldPosition="0">
        <references count="1">
          <reference field="4294967294" count="1">
            <x v="3"/>
          </reference>
        </references>
      </pivotArea>
    </format>
    <format dxfId="725">
      <pivotArea outline="0" fieldPosition="0">
        <references count="1">
          <reference field="4294967294" count="1">
            <x v="4"/>
          </reference>
        </references>
      </pivotArea>
    </format>
    <format dxfId="724">
      <pivotArea outline="0" fieldPosition="0">
        <references count="1">
          <reference field="4294967294" count="1">
            <x v="5"/>
          </reference>
        </references>
      </pivotArea>
    </format>
    <format dxfId="723">
      <pivotArea outline="0" fieldPosition="0">
        <references count="1">
          <reference field="4294967294" count="1">
            <x v="6"/>
          </reference>
        </references>
      </pivotArea>
    </format>
    <format dxfId="722">
      <pivotArea field="2" type="button" dataOnly="0" labelOnly="1" outline="0" axis="axisRow" fieldPosition="0"/>
    </format>
    <format dxfId="7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0">
      <pivotArea field="2" type="button" dataOnly="0" labelOnly="1" outline="0" axis="axisRow" fieldPosition="0"/>
    </format>
    <format dxfId="7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8">
      <pivotArea field="2" type="button" dataOnly="0" labelOnly="1" outline="0" axis="axisRow" fieldPosition="0"/>
    </format>
    <format dxfId="7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828C7D-2F31-4E94-87D8-8796739D634B}" name="LTBL_43000" displayName="LTBL_43000" ref="B4:I20" totalsRowCount="1">
  <autoFilter ref="B4:I19" xr:uid="{7B828C7D-2F31-4E94-87D8-8796739D634B}"/>
  <tableColumns count="8">
    <tableColumn id="9" xr3:uid="{9C2648B1-81D9-4597-B920-25E3E8788D6B}" name="産業大分類" totalsRowLabel="合計" totalsRowDxfId="713"/>
    <tableColumn id="10" xr3:uid="{27EAEDA9-3BA8-4E8D-B438-0FB4DF62D920}" name="総数／事業所数" totalsRowFunction="custom" totalsRowDxfId="712" dataCellStyle="桁区切り" totalsRowCellStyle="桁区切り">
      <totalsRowFormula>SUM(LTBL_43000[総数／事業所数])</totalsRowFormula>
    </tableColumn>
    <tableColumn id="11" xr3:uid="{3AF98B2A-8497-41F7-B99C-A3856FECED4B}" name="総数／構成比" dataDxfId="711"/>
    <tableColumn id="12" xr3:uid="{30EBF09F-041B-47D1-B8AA-D5EE2C80A74D}" name="個人／事業所数" totalsRowFunction="sum" totalsRowDxfId="710" dataCellStyle="桁区切り" totalsRowCellStyle="桁区切り"/>
    <tableColumn id="13" xr3:uid="{BB81BB2D-BDF3-436C-AD16-F09C4B0D54F5}" name="個人／構成比" dataDxfId="709"/>
    <tableColumn id="14" xr3:uid="{5E89EA42-0585-497E-97D1-DD927EF0E15F}" name="法人／事業所数" totalsRowFunction="sum" totalsRowDxfId="708" dataCellStyle="桁区切り" totalsRowCellStyle="桁区切り"/>
    <tableColumn id="15" xr3:uid="{D805644E-2CB9-4B2B-AC79-EFB3085B07E0}" name="法人／構成比" dataDxfId="707"/>
    <tableColumn id="16" xr3:uid="{E8B7B363-607C-4CFB-9143-7F545704A724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467129E-272C-4855-B69D-768F21220ADE}" name="LTBL_43102" displayName="LTBL_43102" ref="B4:I20" totalsRowCount="1">
  <autoFilter ref="B4:I19" xr:uid="{5467129E-272C-4855-B69D-768F21220ADE}"/>
  <tableColumns count="8">
    <tableColumn id="9" xr3:uid="{FADBB8B4-4837-486E-8F85-9F2BDEEFD149}" name="産業大分類" totalsRowLabel="合計" totalsRowDxfId="671"/>
    <tableColumn id="10" xr3:uid="{6B950826-7AAE-463D-8D6B-681AC1CCA88E}" name="総数／事業所数" totalsRowFunction="custom" totalsRowDxfId="670" dataCellStyle="桁区切り" totalsRowCellStyle="桁区切り">
      <totalsRowFormula>SUM(LTBL_43102[総数／事業所数])</totalsRowFormula>
    </tableColumn>
    <tableColumn id="11" xr3:uid="{BA5D0851-53B2-4E8C-A8B6-AE073F663344}" name="総数／構成比" dataDxfId="669"/>
    <tableColumn id="12" xr3:uid="{1A29A39B-A41F-43C0-9EF4-44F9B6CB9F7F}" name="個人／事業所数" totalsRowFunction="sum" totalsRowDxfId="668" dataCellStyle="桁区切り" totalsRowCellStyle="桁区切り"/>
    <tableColumn id="13" xr3:uid="{918DECC1-3F63-4891-AAD5-B8C70263F598}" name="個人／構成比" dataDxfId="667"/>
    <tableColumn id="14" xr3:uid="{EB5405E5-9140-4896-ABFE-C62995EB9093}" name="法人／事業所数" totalsRowFunction="sum" totalsRowDxfId="666" dataCellStyle="桁区切り" totalsRowCellStyle="桁区切り"/>
    <tableColumn id="15" xr3:uid="{37D4C95D-D7EF-422B-BF44-88FAF6B59389}" name="法人／構成比" dataDxfId="665"/>
    <tableColumn id="16" xr3:uid="{DC60C859-28AB-4D77-BD49-409335B3D303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1B8D916-465D-44AB-9E7D-D74A89555629}" name="LTBL_43441" displayName="LTBL_43441" ref="B4:I20" totalsRowCount="1">
  <autoFilter ref="B4:I19" xr:uid="{81B8D916-465D-44AB-9E7D-D74A89555629}"/>
  <tableColumns count="8">
    <tableColumn id="9" xr3:uid="{38EC663D-33EF-4127-9A8A-6B52B01B3C87}" name="産業大分類" totalsRowLabel="合計" totalsRowDxfId="251"/>
    <tableColumn id="10" xr3:uid="{59D7705F-E49E-4C75-B35F-BBDE54766213}" name="総数／事業所数" totalsRowFunction="custom" totalsRowDxfId="250" dataCellStyle="桁区切り" totalsRowCellStyle="桁区切り">
      <totalsRowFormula>SUM(LTBL_43441[総数／事業所数])</totalsRowFormula>
    </tableColumn>
    <tableColumn id="11" xr3:uid="{6E11398F-D8FF-42BB-A36A-7CC4A05E1CA4}" name="総数／構成比" dataDxfId="249"/>
    <tableColumn id="12" xr3:uid="{5509E80B-B8A3-48E4-A8D7-DE88A604C7A9}" name="個人／事業所数" totalsRowFunction="sum" totalsRowDxfId="248" dataCellStyle="桁区切り" totalsRowCellStyle="桁区切り"/>
    <tableColumn id="13" xr3:uid="{AC8597CA-74BE-4A1D-8110-A749F6BC11CB}" name="個人／構成比" dataDxfId="247"/>
    <tableColumn id="14" xr3:uid="{18EDF10A-9BC7-4D87-8218-DA99B8A056E6}" name="法人／事業所数" totalsRowFunction="sum" totalsRowDxfId="246" dataCellStyle="桁区切り" totalsRowCellStyle="桁区切り"/>
    <tableColumn id="15" xr3:uid="{6BA7191B-A124-46F1-B609-A9458122BBE4}" name="法人／構成比" dataDxfId="245"/>
    <tableColumn id="16" xr3:uid="{337AA941-0C56-4A01-BFAC-D908E299FC8C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8EA5A15B-4383-4653-918A-25C81931534B}" name="M_TABLE_43441" displayName="M_TABLE_43441" ref="B23:I43" totalsRowShown="0">
  <autoFilter ref="B23:I43" xr:uid="{8EA5A15B-4383-4653-918A-25C81931534B}"/>
  <tableColumns count="8">
    <tableColumn id="9" xr3:uid="{37F53637-4BEB-4BDC-9399-66C320AA06E6}" name="産業中分類上位２０"/>
    <tableColumn id="10" xr3:uid="{1157773E-F1DA-4E7B-98DB-7ABF0B316418}" name="総数／事業所数" dataCellStyle="桁区切り"/>
    <tableColumn id="11" xr3:uid="{C111768C-53F4-45B2-B66C-2B842763C08F}" name="総数／構成比" dataDxfId="243"/>
    <tableColumn id="12" xr3:uid="{C8FAB8D5-C605-4DCA-A4B5-EDDB1C38EC4F}" name="個人／事業所数" dataCellStyle="桁区切り"/>
    <tableColumn id="13" xr3:uid="{1AC99230-9AE4-44B4-AC89-E49CBCDC19F9}" name="個人／構成比" dataDxfId="242"/>
    <tableColumn id="14" xr3:uid="{02B790A8-73ED-4169-AC77-3EF9EBB58B53}" name="法人／事業所数" dataCellStyle="桁区切り"/>
    <tableColumn id="15" xr3:uid="{04F35C95-0A93-4CA1-8E85-091DAEF3C72B}" name="法人／構成比" dataDxfId="241"/>
    <tableColumn id="16" xr3:uid="{DE8FB0AC-05C7-4D62-868C-39CA7B2F1CD3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23A8F58A-346C-4336-AF5A-D73EFF21241A}" name="S_TABLE_43441" displayName="S_TABLE_43441" ref="B46:I70" totalsRowShown="0">
  <autoFilter ref="B46:I70" xr:uid="{23A8F58A-346C-4336-AF5A-D73EFF21241A}"/>
  <tableColumns count="8">
    <tableColumn id="9" xr3:uid="{B211ED56-6161-4116-B02B-2E19466DF0CE}" name="産業小分類上位２０"/>
    <tableColumn id="10" xr3:uid="{344A2BD4-6545-4AB0-AE74-C70084D0FD88}" name="総数／事業所数" dataCellStyle="桁区切り"/>
    <tableColumn id="11" xr3:uid="{91EED7A6-45B7-4D0F-BC3A-BB17C090D502}" name="総数／構成比" dataDxfId="240"/>
    <tableColumn id="12" xr3:uid="{FB95BEB9-7CFF-4581-A297-083A0A13B6DE}" name="個人／事業所数" dataCellStyle="桁区切り"/>
    <tableColumn id="13" xr3:uid="{88874126-CEC2-4614-95F6-5BDB9C12DD73}" name="個人／構成比" dataDxfId="239"/>
    <tableColumn id="14" xr3:uid="{11138443-B4D7-4716-BBA9-953D3B9EE42B}" name="法人／事業所数" dataCellStyle="桁区切り"/>
    <tableColumn id="15" xr3:uid="{6061A5C7-3830-43FD-B3EF-30F58AEBFC5E}" name="法人／構成比" dataDxfId="238"/>
    <tableColumn id="16" xr3:uid="{F6130937-065B-41C6-A81E-EA504A678493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BF549E1-E473-4569-88A3-F5418D42EBAE}" name="LTBL_43442" displayName="LTBL_43442" ref="B4:I20" totalsRowCount="1">
  <autoFilter ref="B4:I19" xr:uid="{DBF549E1-E473-4569-88A3-F5418D42EBAE}"/>
  <tableColumns count="8">
    <tableColumn id="9" xr3:uid="{19F71F93-14E7-445B-AAEA-DA1423AE968A}" name="産業大分類" totalsRowLabel="合計" totalsRowDxfId="237"/>
    <tableColumn id="10" xr3:uid="{7D268FF4-3971-4346-885F-8737F06ADBCB}" name="総数／事業所数" totalsRowFunction="custom" totalsRowDxfId="236" dataCellStyle="桁区切り" totalsRowCellStyle="桁区切り">
      <totalsRowFormula>SUM(LTBL_43442[総数／事業所数])</totalsRowFormula>
    </tableColumn>
    <tableColumn id="11" xr3:uid="{2A0748BE-9BA1-4463-AD23-D53035819EE5}" name="総数／構成比" dataDxfId="235"/>
    <tableColumn id="12" xr3:uid="{76D6CB9C-0998-4D3B-8E74-C5D84638D45C}" name="個人／事業所数" totalsRowFunction="sum" totalsRowDxfId="234" dataCellStyle="桁区切り" totalsRowCellStyle="桁区切り"/>
    <tableColumn id="13" xr3:uid="{A21C41FB-2F3F-448C-833D-661108B69903}" name="個人／構成比" dataDxfId="233"/>
    <tableColumn id="14" xr3:uid="{B64BAE2C-ED51-41C9-8411-70D01C28375D}" name="法人／事業所数" totalsRowFunction="sum" totalsRowDxfId="232" dataCellStyle="桁区切り" totalsRowCellStyle="桁区切り"/>
    <tableColumn id="15" xr3:uid="{52556CEB-D4A4-4B09-87BD-E4CA3A2D9693}" name="法人／構成比" dataDxfId="231"/>
    <tableColumn id="16" xr3:uid="{CE7F2F31-F23F-4079-A041-A9E570E94D76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27D0DFF-9ED6-4826-961A-3D9E421B9F26}" name="M_TABLE_43442" displayName="M_TABLE_43442" ref="B23:I46" totalsRowShown="0">
  <autoFilter ref="B23:I46" xr:uid="{227D0DFF-9ED6-4826-961A-3D9E421B9F26}"/>
  <tableColumns count="8">
    <tableColumn id="9" xr3:uid="{BEA144A9-DB3D-441A-8B90-00FCBDBD24E9}" name="産業中分類上位２０"/>
    <tableColumn id="10" xr3:uid="{DE3615AC-3645-48BF-84C9-986DD8B7732E}" name="総数／事業所数" dataCellStyle="桁区切り"/>
    <tableColumn id="11" xr3:uid="{11FCC2E8-4249-4694-935C-38740AA5C68D}" name="総数／構成比" dataDxfId="229"/>
    <tableColumn id="12" xr3:uid="{55A4246D-9952-4C8C-BDB0-73617EA1BED1}" name="個人／事業所数" dataCellStyle="桁区切り"/>
    <tableColumn id="13" xr3:uid="{C8A3FCF1-4812-4DD3-B933-3E737694618F}" name="個人／構成比" dataDxfId="228"/>
    <tableColumn id="14" xr3:uid="{3A22C7E7-04AB-494D-B93F-E101F3EF9186}" name="法人／事業所数" dataCellStyle="桁区切り"/>
    <tableColumn id="15" xr3:uid="{D3ED9D9E-4771-4822-95FD-3F387541F02C}" name="法人／構成比" dataDxfId="227"/>
    <tableColumn id="16" xr3:uid="{7D064580-34C4-4825-812D-3832171632F6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8FDE25A-1F8C-4C7D-A142-1EE3CFBF55F7}" name="S_TABLE_43442" displayName="S_TABLE_43442" ref="B49:I71" totalsRowShown="0">
  <autoFilter ref="B49:I71" xr:uid="{F8FDE25A-1F8C-4C7D-A142-1EE3CFBF55F7}"/>
  <tableColumns count="8">
    <tableColumn id="9" xr3:uid="{AC75A22E-D99C-4287-B574-BEA4CC8C11F1}" name="産業小分類上位２０"/>
    <tableColumn id="10" xr3:uid="{7BDB2932-416F-45DF-B0C0-A1FC054C6AFD}" name="総数／事業所数" dataCellStyle="桁区切り"/>
    <tableColumn id="11" xr3:uid="{CEDEA884-B009-4877-BBFE-9924DB84E396}" name="総数／構成比" dataDxfId="226"/>
    <tableColumn id="12" xr3:uid="{DEC28A89-486B-48B5-85D2-8BA18D9B1CB3}" name="個人／事業所数" dataCellStyle="桁区切り"/>
    <tableColumn id="13" xr3:uid="{4E80C398-98B0-4087-A446-23F50231FE70}" name="個人／構成比" dataDxfId="225"/>
    <tableColumn id="14" xr3:uid="{14F99455-6345-4F60-B7BC-B757DE011F88}" name="法人／事業所数" dataCellStyle="桁区切り"/>
    <tableColumn id="15" xr3:uid="{A4D34AAE-77BD-40DC-9D4F-C36CBCCDB2DC}" name="法人／構成比" dataDxfId="224"/>
    <tableColumn id="16" xr3:uid="{428084E8-4694-48AD-81D3-FC6667E9639E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B8C0A7A7-9012-4FBA-AFAC-8FBFA6B9902B}" name="LTBL_43443" displayName="LTBL_43443" ref="B4:I20" totalsRowCount="1">
  <autoFilter ref="B4:I19" xr:uid="{B8C0A7A7-9012-4FBA-AFAC-8FBFA6B9902B}"/>
  <tableColumns count="8">
    <tableColumn id="9" xr3:uid="{BCDB18F9-AAF6-4F04-8F34-D93E9146B598}" name="産業大分類" totalsRowLabel="合計" totalsRowDxfId="223"/>
    <tableColumn id="10" xr3:uid="{88E20D93-B41C-4FE3-8DB1-9936B9D1574E}" name="総数／事業所数" totalsRowFunction="custom" totalsRowDxfId="222" dataCellStyle="桁区切り" totalsRowCellStyle="桁区切り">
      <totalsRowFormula>SUM(LTBL_43443[総数／事業所数])</totalsRowFormula>
    </tableColumn>
    <tableColumn id="11" xr3:uid="{EDAA1218-5F32-4370-AB2E-965EE0802AA0}" name="総数／構成比" dataDxfId="221"/>
    <tableColumn id="12" xr3:uid="{45862B19-9B48-43A5-B7C4-7DBE84707381}" name="個人／事業所数" totalsRowFunction="sum" totalsRowDxfId="220" dataCellStyle="桁区切り" totalsRowCellStyle="桁区切り"/>
    <tableColumn id="13" xr3:uid="{91307A93-467D-405B-94D6-EAF42C6A7C85}" name="個人／構成比" dataDxfId="219"/>
    <tableColumn id="14" xr3:uid="{50D79E07-B7F7-4D37-9322-DFFF9E05F8C4}" name="法人／事業所数" totalsRowFunction="sum" totalsRowDxfId="218" dataCellStyle="桁区切り" totalsRowCellStyle="桁区切り"/>
    <tableColumn id="15" xr3:uid="{EAD5A791-0C21-4A8C-AF62-0DAAAB87A259}" name="法人／構成比" dataDxfId="217"/>
    <tableColumn id="16" xr3:uid="{7C155E35-E391-42BA-9841-28D2EF1BD1E2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CECE5DCB-B69C-4542-99D5-AC2C2F9AC591}" name="M_TABLE_43443" displayName="M_TABLE_43443" ref="B23:I45" totalsRowShown="0">
  <autoFilter ref="B23:I45" xr:uid="{CECE5DCB-B69C-4542-99D5-AC2C2F9AC591}"/>
  <tableColumns count="8">
    <tableColumn id="9" xr3:uid="{510DDEEA-9B73-4E43-91C5-0EE7DF0AA1EA}" name="産業中分類上位２０"/>
    <tableColumn id="10" xr3:uid="{B21F4F99-F8E2-4C3A-BD56-FEB260B5694B}" name="総数／事業所数" dataCellStyle="桁区切り"/>
    <tableColumn id="11" xr3:uid="{80D44454-B19D-40DF-BDF5-F855EC353148}" name="総数／構成比" dataDxfId="215"/>
    <tableColumn id="12" xr3:uid="{E34026CB-3CC1-4D29-BF88-6349A4626A5F}" name="個人／事業所数" dataCellStyle="桁区切り"/>
    <tableColumn id="13" xr3:uid="{3B82268E-4B22-4E4E-8A53-B51F97727BC7}" name="個人／構成比" dataDxfId="214"/>
    <tableColumn id="14" xr3:uid="{D999D56C-3456-491B-8696-2C0AA21D9EAB}" name="法人／事業所数" dataCellStyle="桁区切り"/>
    <tableColumn id="15" xr3:uid="{C3888F55-6D08-4353-9C0B-82A5625C1A60}" name="法人／構成比" dataDxfId="213"/>
    <tableColumn id="16" xr3:uid="{AA994946-2013-4B02-B942-E0418BEFCC29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C7900ED-A287-4CC4-A74F-7E53542B1752}" name="S_TABLE_43443" displayName="S_TABLE_43443" ref="B48:I68" totalsRowShown="0">
  <autoFilter ref="B48:I68" xr:uid="{1C7900ED-A287-4CC4-A74F-7E53542B1752}"/>
  <tableColumns count="8">
    <tableColumn id="9" xr3:uid="{BD9C7B35-BBD6-4075-8453-79A0D948C98A}" name="産業小分類上位２０"/>
    <tableColumn id="10" xr3:uid="{AC58CFCA-A2B6-4899-A9E9-EE27152D0B03}" name="総数／事業所数" dataCellStyle="桁区切り"/>
    <tableColumn id="11" xr3:uid="{EEC3AA59-A8FF-4A77-B36D-34833637EF25}" name="総数／構成比" dataDxfId="212"/>
    <tableColumn id="12" xr3:uid="{4B085948-6ADF-461D-A22A-02B2FE28EEDB}" name="個人／事業所数" dataCellStyle="桁区切り"/>
    <tableColumn id="13" xr3:uid="{1F68C152-07FA-4EF9-9BD9-BC5DACF1D531}" name="個人／構成比" dataDxfId="211"/>
    <tableColumn id="14" xr3:uid="{B9ABDD5F-B889-41A8-A2D8-74CFEE416789}" name="法人／事業所数" dataCellStyle="桁区切り"/>
    <tableColumn id="15" xr3:uid="{6DE902C8-A13E-41D7-94B8-0C968BE5C30E}" name="法人／構成比" dataDxfId="210"/>
    <tableColumn id="16" xr3:uid="{3BC089DC-CE00-41CD-AEF2-44214BC2E772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990F4053-BF0F-4D72-905B-CC1E7F1563CF}" name="LTBL_43444" displayName="LTBL_43444" ref="B4:I20" totalsRowCount="1">
  <autoFilter ref="B4:I19" xr:uid="{990F4053-BF0F-4D72-905B-CC1E7F1563CF}"/>
  <tableColumns count="8">
    <tableColumn id="9" xr3:uid="{9FFFBBE3-A286-4E14-9F0F-607FEBA90600}" name="産業大分類" totalsRowLabel="合計" totalsRowDxfId="209"/>
    <tableColumn id="10" xr3:uid="{A465BCFB-4FAB-4041-A2E1-C8426AC0E9B8}" name="総数／事業所数" totalsRowFunction="custom" totalsRowDxfId="208" dataCellStyle="桁区切り" totalsRowCellStyle="桁区切り">
      <totalsRowFormula>SUM(LTBL_43444[総数／事業所数])</totalsRowFormula>
    </tableColumn>
    <tableColumn id="11" xr3:uid="{102B35B8-7BEC-45E1-9F38-E6D90640442D}" name="総数／構成比" dataDxfId="207"/>
    <tableColumn id="12" xr3:uid="{D8BDA43C-C167-40B0-8FC5-6BA37D34FAF7}" name="個人／事業所数" totalsRowFunction="sum" totalsRowDxfId="206" dataCellStyle="桁区切り" totalsRowCellStyle="桁区切り"/>
    <tableColumn id="13" xr3:uid="{48845990-EDDD-4DDC-B54B-C71D3D3BD920}" name="個人／構成比" dataDxfId="205"/>
    <tableColumn id="14" xr3:uid="{89D3C67B-57BC-4570-9393-54E24288A0C7}" name="法人／事業所数" totalsRowFunction="sum" totalsRowDxfId="204" dataCellStyle="桁区切り" totalsRowCellStyle="桁区切り"/>
    <tableColumn id="15" xr3:uid="{48C04189-F30B-4226-ADE5-DD64051AD533}" name="法人／構成比" dataDxfId="203"/>
    <tableColumn id="16" xr3:uid="{9F35848F-F91B-48CB-A37B-AF50F8735977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E90748B-BE90-4C65-8CD9-5BB66B26B266}" name="M_TABLE_43102" displayName="M_TABLE_43102" ref="B23:I43" totalsRowShown="0">
  <autoFilter ref="B23:I43" xr:uid="{1E90748B-BE90-4C65-8CD9-5BB66B26B266}"/>
  <tableColumns count="8">
    <tableColumn id="9" xr3:uid="{A83679C5-9945-4F00-AE12-AE8F57951D61}" name="産業中分類上位２０"/>
    <tableColumn id="10" xr3:uid="{68E4D5DB-A418-41F6-8C26-39D57F6F1672}" name="総数／事業所数" dataCellStyle="桁区切り"/>
    <tableColumn id="11" xr3:uid="{3DC6D917-054A-41FB-84FD-F926273E0C8D}" name="総数／構成比" dataDxfId="663"/>
    <tableColumn id="12" xr3:uid="{417FB892-0746-4DE0-8967-F4BA538BF755}" name="個人／事業所数" dataCellStyle="桁区切り"/>
    <tableColumn id="13" xr3:uid="{4CEA4616-FE6C-4DC6-86B8-BB4774AA2CA5}" name="個人／構成比" dataDxfId="662"/>
    <tableColumn id="14" xr3:uid="{63947E22-4CB7-4D68-A09F-F9DCFDE7B058}" name="法人／事業所数" dataCellStyle="桁区切り"/>
    <tableColumn id="15" xr3:uid="{57686F18-DB46-406F-875C-4AEF2D9F23B1}" name="法人／構成比" dataDxfId="661"/>
    <tableColumn id="16" xr3:uid="{EE36A116-BA59-4984-95AD-05003F54B4A2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D97ED68-28BC-4E62-B0F4-5E2E0AC596F1}" name="M_TABLE_43444" displayName="M_TABLE_43444" ref="B23:I45" totalsRowShown="0">
  <autoFilter ref="B23:I45" xr:uid="{8D97ED68-28BC-4E62-B0F4-5E2E0AC596F1}"/>
  <tableColumns count="8">
    <tableColumn id="9" xr3:uid="{ECBFA79A-1FB4-4087-B064-DABD583ED2A3}" name="産業中分類上位２０"/>
    <tableColumn id="10" xr3:uid="{1A896F62-65F9-4A2A-8038-DA9DA1CFBB49}" name="総数／事業所数" dataCellStyle="桁区切り"/>
    <tableColumn id="11" xr3:uid="{5ECCFA19-5FCB-480C-8517-D1754DA16681}" name="総数／構成比" dataDxfId="201"/>
    <tableColumn id="12" xr3:uid="{90AEEFD0-650D-4EB8-8415-B04B066B2C15}" name="個人／事業所数" dataCellStyle="桁区切り"/>
    <tableColumn id="13" xr3:uid="{471DAD89-1480-427D-B051-C4E9514F8EA9}" name="個人／構成比" dataDxfId="200"/>
    <tableColumn id="14" xr3:uid="{A887ACFE-8267-4026-BF6D-1ACCDD06FE59}" name="法人／事業所数" dataCellStyle="桁区切り"/>
    <tableColumn id="15" xr3:uid="{4990D6BD-4C75-4507-B6DF-C6657577BDFA}" name="法人／構成比" dataDxfId="199"/>
    <tableColumn id="16" xr3:uid="{222A1277-A1F9-449D-88F7-23C251166E2D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660295D6-3EF9-4782-B914-DAC5FD937599}" name="S_TABLE_43444" displayName="S_TABLE_43444" ref="B48:I70" totalsRowShown="0">
  <autoFilter ref="B48:I70" xr:uid="{660295D6-3EF9-4782-B914-DAC5FD937599}"/>
  <tableColumns count="8">
    <tableColumn id="9" xr3:uid="{308C3197-B16B-4ADE-A46E-F3BE53FAD1DA}" name="産業小分類上位２０"/>
    <tableColumn id="10" xr3:uid="{20BFA842-E3FE-4E8E-8CCF-3553F23E7DA7}" name="総数／事業所数" dataCellStyle="桁区切り"/>
    <tableColumn id="11" xr3:uid="{47A81551-41F0-4BD9-BFFE-C15484F12332}" name="総数／構成比" dataDxfId="198"/>
    <tableColumn id="12" xr3:uid="{1CC71010-F020-4544-B1CC-04CB57DBC8AF}" name="個人／事業所数" dataCellStyle="桁区切り"/>
    <tableColumn id="13" xr3:uid="{6F5758DD-3B0F-4EBA-9BC0-E915430F6658}" name="個人／構成比" dataDxfId="197"/>
    <tableColumn id="14" xr3:uid="{718C0D1C-A623-4057-89C4-CC71414DCA7E}" name="法人／事業所数" dataCellStyle="桁区切り"/>
    <tableColumn id="15" xr3:uid="{D70641C1-E64D-4387-B7CD-356A6A22D00E}" name="法人／構成比" dataDxfId="196"/>
    <tableColumn id="16" xr3:uid="{823A8E6B-193E-400E-A976-567DF7D07613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92478DE-A4DB-45FF-AD0F-868986FAAB9C}" name="LTBL_43447" displayName="LTBL_43447" ref="B4:I20" totalsRowCount="1">
  <autoFilter ref="B4:I19" xr:uid="{192478DE-A4DB-45FF-AD0F-868986FAAB9C}"/>
  <tableColumns count="8">
    <tableColumn id="9" xr3:uid="{EAEC7B77-F3D8-45AC-94CB-460EC9F43782}" name="産業大分類" totalsRowLabel="合計" totalsRowDxfId="195"/>
    <tableColumn id="10" xr3:uid="{6F98A836-4289-4778-9BDF-2EFC6C4B2646}" name="総数／事業所数" totalsRowFunction="custom" totalsRowDxfId="194" dataCellStyle="桁区切り" totalsRowCellStyle="桁区切り">
      <totalsRowFormula>SUM(LTBL_43447[総数／事業所数])</totalsRowFormula>
    </tableColumn>
    <tableColumn id="11" xr3:uid="{5C46D3E7-42D8-492C-A86A-2079213BDF95}" name="総数／構成比" dataDxfId="193"/>
    <tableColumn id="12" xr3:uid="{8F50E0AD-BAEC-4901-9FB6-A7E352F49B81}" name="個人／事業所数" totalsRowFunction="sum" totalsRowDxfId="192" dataCellStyle="桁区切り" totalsRowCellStyle="桁区切り"/>
    <tableColumn id="13" xr3:uid="{83F5AF7F-037E-46B1-8A56-F37B46A5AED8}" name="個人／構成比" dataDxfId="191"/>
    <tableColumn id="14" xr3:uid="{0E7CFF06-42A5-4224-81EF-9BA822F04E4B}" name="法人／事業所数" totalsRowFunction="sum" totalsRowDxfId="190" dataCellStyle="桁区切り" totalsRowCellStyle="桁区切り"/>
    <tableColumn id="15" xr3:uid="{C86D871B-E025-440A-A433-9E9D7BF3E5E5}" name="法人／構成比" dataDxfId="189"/>
    <tableColumn id="16" xr3:uid="{7531472D-5EEF-4544-86CC-E27C8EADADE8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8B628CB-C658-4820-B088-1DBB26ED3D4E}" name="M_TABLE_43447" displayName="M_TABLE_43447" ref="B23:I45" totalsRowShown="0">
  <autoFilter ref="B23:I45" xr:uid="{F8B628CB-C658-4820-B088-1DBB26ED3D4E}"/>
  <tableColumns count="8">
    <tableColumn id="9" xr3:uid="{9DDE7A09-2FAB-4E05-9CFB-8ED6C4DCF233}" name="産業中分類上位２０"/>
    <tableColumn id="10" xr3:uid="{717BAE10-C836-476A-BFCE-3F87D1AD1A1E}" name="総数／事業所数" dataCellStyle="桁区切り"/>
    <tableColumn id="11" xr3:uid="{825998C9-E588-4B78-980B-D36EBAA92869}" name="総数／構成比" dataDxfId="187"/>
    <tableColumn id="12" xr3:uid="{C0B063BA-4281-49D8-BF44-147A8E2A35CE}" name="個人／事業所数" dataCellStyle="桁区切り"/>
    <tableColumn id="13" xr3:uid="{C9AB6D5F-DC40-4A95-9CB6-F36513AAA022}" name="個人／構成比" dataDxfId="186"/>
    <tableColumn id="14" xr3:uid="{E79790E7-9DB4-4DFA-B3A4-1D4FDFBE038C}" name="法人／事業所数" dataCellStyle="桁区切り"/>
    <tableColumn id="15" xr3:uid="{CF47B097-3D20-4A1F-9DD7-57053BF5CAA1}" name="法人／構成比" dataDxfId="185"/>
    <tableColumn id="16" xr3:uid="{41EBEACF-3159-4F65-8A50-B583486FB545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C67F5BE5-7F9C-433E-9D0C-9E85E718F026}" name="S_TABLE_43447" displayName="S_TABLE_43447" ref="B48:I75" totalsRowShown="0">
  <autoFilter ref="B48:I75" xr:uid="{C67F5BE5-7F9C-433E-9D0C-9E85E718F026}"/>
  <tableColumns count="8">
    <tableColumn id="9" xr3:uid="{91C86A8B-49AE-456E-8BC2-990CA50C3FD8}" name="産業小分類上位２０"/>
    <tableColumn id="10" xr3:uid="{2E447F06-4918-48C8-BB03-EE2EBD776DD3}" name="総数／事業所数" dataCellStyle="桁区切り"/>
    <tableColumn id="11" xr3:uid="{1CB3D8C9-805B-49C9-AE59-CE3ECBB43866}" name="総数／構成比" dataDxfId="184"/>
    <tableColumn id="12" xr3:uid="{DBDD9BB2-1663-4651-92A0-855205068503}" name="個人／事業所数" dataCellStyle="桁区切り"/>
    <tableColumn id="13" xr3:uid="{8420B5AE-49ED-43C3-B8AF-907E0E9FB785}" name="個人／構成比" dataDxfId="183"/>
    <tableColumn id="14" xr3:uid="{61A2E8E2-E71B-4A63-833C-981E10E2A7D7}" name="法人／事業所数" dataCellStyle="桁区切り"/>
    <tableColumn id="15" xr3:uid="{37CB947F-9221-447C-96A8-3BF57545CD0E}" name="法人／構成比" dataDxfId="182"/>
    <tableColumn id="16" xr3:uid="{AD27DE94-E3CB-4AA1-900E-EA0CDDF455BE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6F5471F-2568-4117-BE73-F56E51AF2AED}" name="LTBL_43468" displayName="LTBL_43468" ref="B4:I20" totalsRowCount="1">
  <autoFilter ref="B4:I19" xr:uid="{26F5471F-2568-4117-BE73-F56E51AF2AED}"/>
  <tableColumns count="8">
    <tableColumn id="9" xr3:uid="{695A495C-76AC-4932-90E1-968FE1C0F640}" name="産業大分類" totalsRowLabel="合計" totalsRowDxfId="181"/>
    <tableColumn id="10" xr3:uid="{A5036D19-0C73-4C98-B5C0-0DDF06E1B497}" name="総数／事業所数" totalsRowFunction="custom" totalsRowDxfId="180" dataCellStyle="桁区切り" totalsRowCellStyle="桁区切り">
      <totalsRowFormula>SUM(LTBL_43468[総数／事業所数])</totalsRowFormula>
    </tableColumn>
    <tableColumn id="11" xr3:uid="{A78257EA-9D8D-4B98-8FBC-B532B5C68F9C}" name="総数／構成比" dataDxfId="179"/>
    <tableColumn id="12" xr3:uid="{44EC704E-7221-4FD4-83AC-EB5EDE33DD01}" name="個人／事業所数" totalsRowFunction="sum" totalsRowDxfId="178" dataCellStyle="桁区切り" totalsRowCellStyle="桁区切り"/>
    <tableColumn id="13" xr3:uid="{15FD549A-0059-402E-AF62-E743F2BE79E7}" name="個人／構成比" dataDxfId="177"/>
    <tableColumn id="14" xr3:uid="{891A78C9-16EA-48DB-A4E5-B07FACA509A9}" name="法人／事業所数" totalsRowFunction="sum" totalsRowDxfId="176" dataCellStyle="桁区切り" totalsRowCellStyle="桁区切り"/>
    <tableColumn id="15" xr3:uid="{89A4B670-385C-4014-B1D0-A1F561C251B9}" name="法人／構成比" dataDxfId="175"/>
    <tableColumn id="16" xr3:uid="{CACE28AF-B73D-458A-82BB-9342281F72AD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A71D75A-6EC5-4E92-836D-8E2934284C03}" name="M_TABLE_43468" displayName="M_TABLE_43468" ref="B23:I46" totalsRowShown="0">
  <autoFilter ref="B23:I46" xr:uid="{FA71D75A-6EC5-4E92-836D-8E2934284C03}"/>
  <tableColumns count="8">
    <tableColumn id="9" xr3:uid="{67B80D48-E715-4853-8024-DC1F3D45E81B}" name="産業中分類上位２０"/>
    <tableColumn id="10" xr3:uid="{0292B91C-B884-4787-A826-2CAB7CB721BF}" name="総数／事業所数" dataCellStyle="桁区切り"/>
    <tableColumn id="11" xr3:uid="{C3E2B90F-99D6-4967-9C13-593FE74BED56}" name="総数／構成比" dataDxfId="173"/>
    <tableColumn id="12" xr3:uid="{7A9A31AB-6DE7-4159-9484-08CAE5E254B1}" name="個人／事業所数" dataCellStyle="桁区切り"/>
    <tableColumn id="13" xr3:uid="{469C127E-A7C1-4073-BCFD-810905C2A663}" name="個人／構成比" dataDxfId="172"/>
    <tableColumn id="14" xr3:uid="{DFB91C79-B6D8-4671-9D9D-F2CD0D319D81}" name="法人／事業所数" dataCellStyle="桁区切り"/>
    <tableColumn id="15" xr3:uid="{0A7B915F-3B2C-4C15-9CA8-0C1D8CD20A55}" name="法人／構成比" dataDxfId="171"/>
    <tableColumn id="16" xr3:uid="{407D8E53-84E9-4F94-A8A4-70E61C449FA9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E9ACF6D4-85F9-4B1F-A97E-E72926066371}" name="S_TABLE_43468" displayName="S_TABLE_43468" ref="B49:I82" totalsRowShown="0">
  <autoFilter ref="B49:I82" xr:uid="{E9ACF6D4-85F9-4B1F-A97E-E72926066371}"/>
  <tableColumns count="8">
    <tableColumn id="9" xr3:uid="{BE49ED62-0B49-444B-BC10-22820590055F}" name="産業小分類上位２０"/>
    <tableColumn id="10" xr3:uid="{0AAE9B79-1BDA-4057-9E44-14E88181614A}" name="総数／事業所数" dataCellStyle="桁区切り"/>
    <tableColumn id="11" xr3:uid="{45A2EB1E-9D4A-4B28-BFA5-7E58DA05313E}" name="総数／構成比" dataDxfId="170"/>
    <tableColumn id="12" xr3:uid="{41D566B1-E66C-48A4-9D5A-F8DAE099CF90}" name="個人／事業所数" dataCellStyle="桁区切り"/>
    <tableColumn id="13" xr3:uid="{A0A6847B-D082-4BAE-8C3D-D0522DEEBBEB}" name="個人／構成比" dataDxfId="169"/>
    <tableColumn id="14" xr3:uid="{DC1F340A-7740-49E5-98B1-DE7DE0EC7AC1}" name="法人／事業所数" dataCellStyle="桁区切り"/>
    <tableColumn id="15" xr3:uid="{3A0B195F-EB7D-47CF-B97F-752F768D7795}" name="法人／構成比" dataDxfId="168"/>
    <tableColumn id="16" xr3:uid="{6B7A290E-C4E9-4221-926E-A59679138CF5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532C571C-937C-4033-9E02-EAA7423DA840}" name="LTBL_43482" displayName="LTBL_43482" ref="B4:I20" totalsRowCount="1">
  <autoFilter ref="B4:I19" xr:uid="{532C571C-937C-4033-9E02-EAA7423DA840}"/>
  <tableColumns count="8">
    <tableColumn id="9" xr3:uid="{D0D69276-C8DE-4CE4-BCCB-4EF09C97C883}" name="産業大分類" totalsRowLabel="合計" totalsRowDxfId="167"/>
    <tableColumn id="10" xr3:uid="{73EEA84B-7E67-4BA5-920C-C5350242B45C}" name="総数／事業所数" totalsRowFunction="custom" totalsRowDxfId="166" dataCellStyle="桁区切り" totalsRowCellStyle="桁区切り">
      <totalsRowFormula>SUM(LTBL_43482[総数／事業所数])</totalsRowFormula>
    </tableColumn>
    <tableColumn id="11" xr3:uid="{C0C5DD96-E324-45F6-BB3C-45296D361D12}" name="総数／構成比" dataDxfId="165"/>
    <tableColumn id="12" xr3:uid="{9271D8D4-37F6-44D3-A701-FA9FC93B40E2}" name="個人／事業所数" totalsRowFunction="sum" totalsRowDxfId="164" dataCellStyle="桁区切り" totalsRowCellStyle="桁区切り"/>
    <tableColumn id="13" xr3:uid="{ED8E44A6-D8CD-4F08-84B7-25949A6644DB}" name="個人／構成比" dataDxfId="163"/>
    <tableColumn id="14" xr3:uid="{156C8BAF-0D23-4CDE-A9C4-0708D4FC1AD9}" name="法人／事業所数" totalsRowFunction="sum" totalsRowDxfId="162" dataCellStyle="桁区切り" totalsRowCellStyle="桁区切り"/>
    <tableColumn id="15" xr3:uid="{529EDC00-B401-4348-8F5A-3E7A1A354453}" name="法人／構成比" dataDxfId="161"/>
    <tableColumn id="16" xr3:uid="{FD1C651F-A5ED-4817-9554-B06231D8E5EE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AD5C0173-C920-4017-A2D4-31AF441DBD56}" name="M_TABLE_43482" displayName="M_TABLE_43482" ref="B23:I43" totalsRowShown="0">
  <autoFilter ref="B23:I43" xr:uid="{AD5C0173-C920-4017-A2D4-31AF441DBD56}"/>
  <tableColumns count="8">
    <tableColumn id="9" xr3:uid="{A6DFEF5F-578F-457E-8238-B4EDD9819F86}" name="産業中分類上位２０"/>
    <tableColumn id="10" xr3:uid="{4042AA52-0D8E-4AFB-986E-BC4E3BAB33F2}" name="総数／事業所数" dataCellStyle="桁区切り"/>
    <tableColumn id="11" xr3:uid="{4A64000F-0AF7-4853-A2BF-5904255E7269}" name="総数／構成比" dataDxfId="159"/>
    <tableColumn id="12" xr3:uid="{111909D3-AEF2-4762-90EE-C83CA9B07855}" name="個人／事業所数" dataCellStyle="桁区切り"/>
    <tableColumn id="13" xr3:uid="{3AA7B7CA-8E1A-42A7-8217-01E05E6D31E6}" name="個人／構成比" dataDxfId="158"/>
    <tableColumn id="14" xr3:uid="{DE5482F4-AFB7-41B7-B08E-23CDDA85C0FE}" name="法人／事業所数" dataCellStyle="桁区切り"/>
    <tableColumn id="15" xr3:uid="{95AB04CB-207D-4B81-AE64-8E2E636A4A43}" name="法人／構成比" dataDxfId="157"/>
    <tableColumn id="16" xr3:uid="{D9876C8E-49EA-4475-B2ED-8B601280AD39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B1A870-811A-49E4-9C8B-26A0DD656017}" name="S_TABLE_43102" displayName="S_TABLE_43102" ref="B46:I66" totalsRowShown="0">
  <autoFilter ref="B46:I66" xr:uid="{00B1A870-811A-49E4-9C8B-26A0DD656017}"/>
  <tableColumns count="8">
    <tableColumn id="9" xr3:uid="{EE49140F-5417-4FC0-A0F7-6F592EFF6EF0}" name="産業小分類上位２０"/>
    <tableColumn id="10" xr3:uid="{C332B42A-5C83-43C2-B8C3-F302414CAF18}" name="総数／事業所数" dataCellStyle="桁区切り"/>
    <tableColumn id="11" xr3:uid="{A23D8E3F-98D9-429C-BEFF-B48582FE5F7D}" name="総数／構成比" dataDxfId="660"/>
    <tableColumn id="12" xr3:uid="{CD2B3786-37C3-4AEC-B2B9-2E1F62E067FE}" name="個人／事業所数" dataCellStyle="桁区切り"/>
    <tableColumn id="13" xr3:uid="{C4EFC790-B50D-49DD-B6DB-DFD8ADDE47D0}" name="個人／構成比" dataDxfId="659"/>
    <tableColumn id="14" xr3:uid="{3855DC36-0A3B-4B16-AC59-55525073A0C9}" name="法人／事業所数" dataCellStyle="桁区切り"/>
    <tableColumn id="15" xr3:uid="{577716F0-4665-41BA-93DF-CD4478576CAA}" name="法人／構成比" dataDxfId="658"/>
    <tableColumn id="16" xr3:uid="{235D75CF-F8A5-46AC-88F5-0F4247177945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D378B66-7D4D-400D-AEDA-8F3519B2C199}" name="S_TABLE_43482" displayName="S_TABLE_43482" ref="B46:I66" totalsRowShown="0">
  <autoFilter ref="B46:I66" xr:uid="{4D378B66-7D4D-400D-AEDA-8F3519B2C199}"/>
  <tableColumns count="8">
    <tableColumn id="9" xr3:uid="{49859087-DD20-41F9-902C-C74602986B53}" name="産業小分類上位２０"/>
    <tableColumn id="10" xr3:uid="{074082DC-251D-4003-A01A-6F51F16948C8}" name="総数／事業所数" dataCellStyle="桁区切り"/>
    <tableColumn id="11" xr3:uid="{247858C8-29EE-4B83-8B02-BAD39902C8B8}" name="総数／構成比" dataDxfId="156"/>
    <tableColumn id="12" xr3:uid="{E0C8302C-35E9-47B0-88E3-7823BCCB02CC}" name="個人／事業所数" dataCellStyle="桁区切り"/>
    <tableColumn id="13" xr3:uid="{E6714741-0945-4C62-B618-D37E9C0D93DE}" name="個人／構成比" dataDxfId="155"/>
    <tableColumn id="14" xr3:uid="{8F3A60A6-AE6B-40CD-83F7-53B613A936F5}" name="法人／事業所数" dataCellStyle="桁区切り"/>
    <tableColumn id="15" xr3:uid="{976E92FA-DA65-45E3-B2E8-5A51F077E38B}" name="法人／構成比" dataDxfId="154"/>
    <tableColumn id="16" xr3:uid="{F1AF41B4-EF99-4FD1-9AFD-21BCB1A6FD77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A05D87AB-CF35-4294-B207-9A13DC212FF8}" name="LTBL_43484" displayName="LTBL_43484" ref="B4:I20" totalsRowCount="1">
  <autoFilter ref="B4:I19" xr:uid="{A05D87AB-CF35-4294-B207-9A13DC212FF8}"/>
  <tableColumns count="8">
    <tableColumn id="9" xr3:uid="{5425C775-E2E8-462D-B6E1-3212D6800667}" name="産業大分類" totalsRowLabel="合計" totalsRowDxfId="153"/>
    <tableColumn id="10" xr3:uid="{0550301C-BD2A-435E-8029-0AD0E4E5CBFA}" name="総数／事業所数" totalsRowFunction="custom" totalsRowDxfId="152" dataCellStyle="桁区切り" totalsRowCellStyle="桁区切り">
      <totalsRowFormula>SUM(LTBL_43484[総数／事業所数])</totalsRowFormula>
    </tableColumn>
    <tableColumn id="11" xr3:uid="{03D1CC7D-A650-4C76-BBB0-A6FC8EDA125B}" name="総数／構成比" dataDxfId="151"/>
    <tableColumn id="12" xr3:uid="{DB0F975F-6979-48F5-B695-759D8914B9F5}" name="個人／事業所数" totalsRowFunction="sum" totalsRowDxfId="150" dataCellStyle="桁区切り" totalsRowCellStyle="桁区切り"/>
    <tableColumn id="13" xr3:uid="{5893E0C6-0289-42EC-AC4D-10FB0AD1ECD1}" name="個人／構成比" dataDxfId="149"/>
    <tableColumn id="14" xr3:uid="{405DBD25-1800-4222-B14D-83391A1C734F}" name="法人／事業所数" totalsRowFunction="sum" totalsRowDxfId="148" dataCellStyle="桁区切り" totalsRowCellStyle="桁区切り"/>
    <tableColumn id="15" xr3:uid="{B199F5AB-4F7C-4AE1-B3D2-2D76F4DBF4EC}" name="法人／構成比" dataDxfId="147"/>
    <tableColumn id="16" xr3:uid="{81EE9215-D81B-40E8-94B0-D80BCF93EB8C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94EF74B3-6AD7-44FA-B2C2-D9ED46D4963A}" name="M_TABLE_43484" displayName="M_TABLE_43484" ref="B23:I54" totalsRowShown="0">
  <autoFilter ref="B23:I54" xr:uid="{94EF74B3-6AD7-44FA-B2C2-D9ED46D4963A}"/>
  <tableColumns count="8">
    <tableColumn id="9" xr3:uid="{876170A1-04C4-4E69-983C-28DC6818ABC7}" name="産業中分類上位２０"/>
    <tableColumn id="10" xr3:uid="{DE72DB47-CCC9-46B6-BB32-D9C5DD3CB517}" name="総数／事業所数" dataCellStyle="桁区切り"/>
    <tableColumn id="11" xr3:uid="{8DF9913F-0914-477A-984F-5C67E33314BD}" name="総数／構成比" dataDxfId="145"/>
    <tableColumn id="12" xr3:uid="{5F965470-7920-42C2-97BE-FE3E85E10DF4}" name="個人／事業所数" dataCellStyle="桁区切り"/>
    <tableColumn id="13" xr3:uid="{358BA646-46E5-4357-9B4E-7ABCDA0703E9}" name="個人／構成比" dataDxfId="144"/>
    <tableColumn id="14" xr3:uid="{73DCF380-45EE-45E4-9552-EA23FD05A959}" name="法人／事業所数" dataCellStyle="桁区切り"/>
    <tableColumn id="15" xr3:uid="{376B6CF0-1392-48A7-9C01-63D846CD5831}" name="法人／構成比" dataDxfId="143"/>
    <tableColumn id="16" xr3:uid="{41D5BF69-B8D1-45EE-A472-802DA5816F5D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68A6822-4F06-4FE4-BE0F-925AE07CABB9}" name="S_TABLE_43484" displayName="S_TABLE_43484" ref="B57:I104" totalsRowShown="0">
  <autoFilter ref="B57:I104" xr:uid="{D68A6822-4F06-4FE4-BE0F-925AE07CABB9}"/>
  <tableColumns count="8">
    <tableColumn id="9" xr3:uid="{4BE60944-7DE7-4170-A252-EE480A0E6F30}" name="産業小分類上位２０"/>
    <tableColumn id="10" xr3:uid="{D0AA77A8-0F51-40DF-90F5-7BD0B5F85426}" name="総数／事業所数" dataCellStyle="桁区切り"/>
    <tableColumn id="11" xr3:uid="{DFAD6970-C751-4579-B70A-F06618421F82}" name="総数／構成比" dataDxfId="142"/>
    <tableColumn id="12" xr3:uid="{8B6EAA7F-6E55-4A7B-9530-170B1DDA9D69}" name="個人／事業所数" dataCellStyle="桁区切り"/>
    <tableColumn id="13" xr3:uid="{0EC794E6-4789-4605-8A19-BE4A611B5BB9}" name="個人／構成比" dataDxfId="141"/>
    <tableColumn id="14" xr3:uid="{30F97240-D43E-4191-ACC1-62BB72D8B923}" name="法人／事業所数" dataCellStyle="桁区切り"/>
    <tableColumn id="15" xr3:uid="{B7DE2FE9-6D7A-4A6B-8917-D29BC5FAFE81}" name="法人／構成比" dataDxfId="140"/>
    <tableColumn id="16" xr3:uid="{5245DF79-ED1C-4308-BD83-B965D41839ED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B39D3CC1-7BC5-4B92-A0C4-E3109A9FBCE8}" name="LTBL_43501" displayName="LTBL_43501" ref="B4:I20" totalsRowCount="1">
  <autoFilter ref="B4:I19" xr:uid="{B39D3CC1-7BC5-4B92-A0C4-E3109A9FBCE8}"/>
  <tableColumns count="8">
    <tableColumn id="9" xr3:uid="{5EA71A93-072F-474B-90BC-4B5F57DFDF5B}" name="産業大分類" totalsRowLabel="合計" totalsRowDxfId="139"/>
    <tableColumn id="10" xr3:uid="{E08D4C42-D4A2-4CCC-BDCF-99FE0AC8B7E2}" name="総数／事業所数" totalsRowFunction="custom" totalsRowDxfId="138" dataCellStyle="桁区切り" totalsRowCellStyle="桁区切り">
      <totalsRowFormula>SUM(LTBL_43501[総数／事業所数])</totalsRowFormula>
    </tableColumn>
    <tableColumn id="11" xr3:uid="{B7479461-1EBB-4801-8A50-EA4C5E082895}" name="総数／構成比" dataDxfId="137"/>
    <tableColumn id="12" xr3:uid="{6DA2B072-A22A-4C21-AEDF-88F8D7D2D399}" name="個人／事業所数" totalsRowFunction="sum" totalsRowDxfId="136" dataCellStyle="桁区切り" totalsRowCellStyle="桁区切り"/>
    <tableColumn id="13" xr3:uid="{6217EBF8-83E7-40F6-ACCF-2E25976CA725}" name="個人／構成比" dataDxfId="135"/>
    <tableColumn id="14" xr3:uid="{6ADE8BA6-95FF-41C0-B2C7-45AFCC612986}" name="法人／事業所数" totalsRowFunction="sum" totalsRowDxfId="134" dataCellStyle="桁区切り" totalsRowCellStyle="桁区切り"/>
    <tableColumn id="15" xr3:uid="{023A9B4F-47A5-4D63-964D-8B2621B33EC3}" name="法人／構成比" dataDxfId="133"/>
    <tableColumn id="16" xr3:uid="{63EAF624-A25A-4964-BDCA-F41512C1E7EA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5EB8F23A-2344-494F-8BA9-D457DFF92BBE}" name="M_TABLE_43501" displayName="M_TABLE_43501" ref="B23:I47" totalsRowShown="0">
  <autoFilter ref="B23:I47" xr:uid="{5EB8F23A-2344-494F-8BA9-D457DFF92BBE}"/>
  <tableColumns count="8">
    <tableColumn id="9" xr3:uid="{580E117B-8A40-40A5-93CF-424DDF8755D0}" name="産業中分類上位２０"/>
    <tableColumn id="10" xr3:uid="{159335FB-B178-4318-AA56-00898E4D6994}" name="総数／事業所数" dataCellStyle="桁区切り"/>
    <tableColumn id="11" xr3:uid="{784A90C1-6896-48C1-B84A-8048397254ED}" name="総数／構成比" dataDxfId="131"/>
    <tableColumn id="12" xr3:uid="{FBCFE536-BE1F-4FC8-BBA1-00693EBDB909}" name="個人／事業所数" dataCellStyle="桁区切り"/>
    <tableColumn id="13" xr3:uid="{D34624F1-C8B9-4E47-B282-CF5E5351E7C7}" name="個人／構成比" dataDxfId="130"/>
    <tableColumn id="14" xr3:uid="{4F40737D-7FFA-4642-AF4B-2A40CAC6BEA1}" name="法人／事業所数" dataCellStyle="桁区切り"/>
    <tableColumn id="15" xr3:uid="{C696729E-AE8A-4212-82B1-79CA6E01E59D}" name="法人／構成比" dataDxfId="129"/>
    <tableColumn id="16" xr3:uid="{841F425E-0A81-4C2E-803E-19204138358F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9DEF94A-733B-4747-AFE8-E967B1E3420C}" name="S_TABLE_43501" displayName="S_TABLE_43501" ref="B50:I78" totalsRowShown="0">
  <autoFilter ref="B50:I78" xr:uid="{C9DEF94A-733B-4747-AFE8-E967B1E3420C}"/>
  <tableColumns count="8">
    <tableColumn id="9" xr3:uid="{DFEDEB30-9C9F-4577-9D53-10F469C9781B}" name="産業小分類上位２０"/>
    <tableColumn id="10" xr3:uid="{3E374E8F-65EB-4C8D-AA78-8BEF09C1D95D}" name="総数／事業所数" dataCellStyle="桁区切り"/>
    <tableColumn id="11" xr3:uid="{6625E1EB-08B1-4F0B-BFA9-98FC71892BFF}" name="総数／構成比" dataDxfId="128"/>
    <tableColumn id="12" xr3:uid="{7ADEDD80-9A55-4ADB-A87D-0E89AC32222B}" name="個人／事業所数" dataCellStyle="桁区切り"/>
    <tableColumn id="13" xr3:uid="{9F59BBD9-7F67-40E4-A591-65761CE50584}" name="個人／構成比" dataDxfId="127"/>
    <tableColumn id="14" xr3:uid="{F9B02270-BA75-4AE4-BBD2-ED4ABF0F6583}" name="法人／事業所数" dataCellStyle="桁区切り"/>
    <tableColumn id="15" xr3:uid="{59D0830C-7C7A-47B2-B80C-691E800B7BD9}" name="法人／構成比" dataDxfId="126"/>
    <tableColumn id="16" xr3:uid="{12599A3C-0407-4D12-A25C-F73409C25753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6CA57143-C26B-4C41-8069-0FBA16F5A11C}" name="LTBL_43505" displayName="LTBL_43505" ref="B4:I20" totalsRowCount="1">
  <autoFilter ref="B4:I19" xr:uid="{6CA57143-C26B-4C41-8069-0FBA16F5A11C}"/>
  <tableColumns count="8">
    <tableColumn id="9" xr3:uid="{94686671-FE25-46AB-BAA3-4033CD1C42AF}" name="産業大分類" totalsRowLabel="合計" totalsRowDxfId="125"/>
    <tableColumn id="10" xr3:uid="{FB55CA37-98B9-4500-A10D-A365C27E4797}" name="総数／事業所数" totalsRowFunction="custom" totalsRowDxfId="124" dataCellStyle="桁区切り" totalsRowCellStyle="桁区切り">
      <totalsRowFormula>SUM(LTBL_43505[総数／事業所数])</totalsRowFormula>
    </tableColumn>
    <tableColumn id="11" xr3:uid="{B794028C-F5D9-4227-9A3A-AB648EBB421C}" name="総数／構成比" dataDxfId="123"/>
    <tableColumn id="12" xr3:uid="{F8C7B323-86C1-4C33-BABE-C06017DE5C0E}" name="個人／事業所数" totalsRowFunction="sum" totalsRowDxfId="122" dataCellStyle="桁区切り" totalsRowCellStyle="桁区切り"/>
    <tableColumn id="13" xr3:uid="{67ED7868-37DC-441B-A0EA-67D8FC2BFF4F}" name="個人／構成比" dataDxfId="121"/>
    <tableColumn id="14" xr3:uid="{C23220F2-1072-4993-A8CE-D850FEB1DA40}" name="法人／事業所数" totalsRowFunction="sum" totalsRowDxfId="120" dataCellStyle="桁区切り" totalsRowCellStyle="桁区切り"/>
    <tableColumn id="15" xr3:uid="{AE881FF5-A5DE-47FE-99BF-F86B42E68EAA}" name="法人／構成比" dataDxfId="119"/>
    <tableColumn id="16" xr3:uid="{3D3E2409-90E5-4F74-8500-7CF2EB17C53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DE5C6B47-3A7F-489A-8011-A8A8018C1348}" name="M_TABLE_43505" displayName="M_TABLE_43505" ref="B23:I45" totalsRowShown="0">
  <autoFilter ref="B23:I45" xr:uid="{DE5C6B47-3A7F-489A-8011-A8A8018C1348}"/>
  <tableColumns count="8">
    <tableColumn id="9" xr3:uid="{421F996D-A465-4A64-B97C-8DA340F5AC46}" name="産業中分類上位２０"/>
    <tableColumn id="10" xr3:uid="{C7128830-1890-4032-8FBF-50AEA95FEF4C}" name="総数／事業所数" dataCellStyle="桁区切り"/>
    <tableColumn id="11" xr3:uid="{A6D7367D-D100-42DE-9DDA-A0B4234B590C}" name="総数／構成比" dataDxfId="117"/>
    <tableColumn id="12" xr3:uid="{E00D2A0F-93AD-46C5-BADF-8CF6209F4C45}" name="個人／事業所数" dataCellStyle="桁区切り"/>
    <tableColumn id="13" xr3:uid="{7F25C065-CCEA-43A3-979B-BD2B7CEF8A2C}" name="個人／構成比" dataDxfId="116"/>
    <tableColumn id="14" xr3:uid="{C1672AB2-4BD5-4923-AE25-0F7F1383020A}" name="法人／事業所数" dataCellStyle="桁区切り"/>
    <tableColumn id="15" xr3:uid="{75E04FCE-E848-45E8-9509-388BA8492328}" name="法人／構成比" dataDxfId="115"/>
    <tableColumn id="16" xr3:uid="{192F8766-C398-4822-9BFC-BCCF8158FD2B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8AA3EA6A-65BE-4F31-9E03-15270CD31AB2}" name="S_TABLE_43505" displayName="S_TABLE_43505" ref="B48:I76" totalsRowShown="0">
  <autoFilter ref="B48:I76" xr:uid="{8AA3EA6A-65BE-4F31-9E03-15270CD31AB2}"/>
  <tableColumns count="8">
    <tableColumn id="9" xr3:uid="{AD925939-6897-4414-AE29-ABF3FF5567FD}" name="産業小分類上位２０"/>
    <tableColumn id="10" xr3:uid="{6021E550-9889-487D-8710-34CA0984FAD2}" name="総数／事業所数" dataCellStyle="桁区切り"/>
    <tableColumn id="11" xr3:uid="{A78302BC-A78B-4DA8-82E6-BADEB71069B1}" name="総数／構成比" dataDxfId="114"/>
    <tableColumn id="12" xr3:uid="{D6FF3FB9-95AB-4F31-8DCF-CE66CDF77A8F}" name="個人／事業所数" dataCellStyle="桁区切り"/>
    <tableColumn id="13" xr3:uid="{72540DDE-3533-4984-9697-27DB34F04B6E}" name="個人／構成比" dataDxfId="113"/>
    <tableColumn id="14" xr3:uid="{BF3F160A-730A-4392-989E-4E3C25715617}" name="法人／事業所数" dataCellStyle="桁区切り"/>
    <tableColumn id="15" xr3:uid="{406221DE-92FD-41DC-98E5-CED87487AADF}" name="法人／構成比" dataDxfId="112"/>
    <tableColumn id="16" xr3:uid="{A106C529-2C76-41D6-9B6E-EBC994FF006C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B166987-12DC-407E-B427-6DFF40DD2597}" name="LTBL_43103" displayName="LTBL_43103" ref="B4:I20" totalsRowCount="1">
  <autoFilter ref="B4:I19" xr:uid="{FB166987-12DC-407E-B427-6DFF40DD2597}"/>
  <tableColumns count="8">
    <tableColumn id="9" xr3:uid="{3E09801D-8887-4ED3-8FBE-17AC3593C2A4}" name="産業大分類" totalsRowLabel="合計" totalsRowDxfId="657"/>
    <tableColumn id="10" xr3:uid="{E3CD43CF-3516-4160-9BEF-202643B07F65}" name="総数／事業所数" totalsRowFunction="custom" totalsRowDxfId="656" dataCellStyle="桁区切り" totalsRowCellStyle="桁区切り">
      <totalsRowFormula>SUM(LTBL_43103[総数／事業所数])</totalsRowFormula>
    </tableColumn>
    <tableColumn id="11" xr3:uid="{28C6903D-4CCE-4A06-8508-47B35E6BAD97}" name="総数／構成比" dataDxfId="655"/>
    <tableColumn id="12" xr3:uid="{65935CD0-9786-49A1-BFEA-2FE9F26F54AA}" name="個人／事業所数" totalsRowFunction="sum" totalsRowDxfId="654" dataCellStyle="桁区切り" totalsRowCellStyle="桁区切り"/>
    <tableColumn id="13" xr3:uid="{3918D628-86B4-4770-88C4-8E5F3EF2BD6E}" name="個人／構成比" dataDxfId="653"/>
    <tableColumn id="14" xr3:uid="{7F867AD5-82F7-48F3-AE6A-12B124BA2DE9}" name="法人／事業所数" totalsRowFunction="sum" totalsRowDxfId="652" dataCellStyle="桁区切り" totalsRowCellStyle="桁区切り"/>
    <tableColumn id="15" xr3:uid="{7976D3E7-7F06-4664-9EBF-E27E510347A2}" name="法人／構成比" dataDxfId="651"/>
    <tableColumn id="16" xr3:uid="{FADE01DF-6263-4733-9D20-85977B91847A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4838CA2C-DE5E-4C3B-974E-241AD4E6C895}" name="LTBL_43506" displayName="LTBL_43506" ref="B4:I20" totalsRowCount="1">
  <autoFilter ref="B4:I19" xr:uid="{4838CA2C-DE5E-4C3B-974E-241AD4E6C895}"/>
  <tableColumns count="8">
    <tableColumn id="9" xr3:uid="{C6D4E1C5-F8EB-43EA-970D-67DB71F6B610}" name="産業大分類" totalsRowLabel="合計" totalsRowDxfId="111"/>
    <tableColumn id="10" xr3:uid="{175C4B86-17B1-4AD6-804E-ACB05782F5C0}" name="総数／事業所数" totalsRowFunction="custom" totalsRowDxfId="110" dataCellStyle="桁区切り" totalsRowCellStyle="桁区切り">
      <totalsRowFormula>SUM(LTBL_43506[総数／事業所数])</totalsRowFormula>
    </tableColumn>
    <tableColumn id="11" xr3:uid="{3C13FF25-8D34-4586-BECB-425240D079B4}" name="総数／構成比" dataDxfId="109"/>
    <tableColumn id="12" xr3:uid="{10C06986-1778-445D-83BF-3EEAF7B3ECEB}" name="個人／事業所数" totalsRowFunction="sum" totalsRowDxfId="108" dataCellStyle="桁区切り" totalsRowCellStyle="桁区切り"/>
    <tableColumn id="13" xr3:uid="{AF36B3C5-CC04-4C43-9303-A14DD0D86707}" name="個人／構成比" dataDxfId="107"/>
    <tableColumn id="14" xr3:uid="{388118E5-04B7-4131-A263-807405F827E3}" name="法人／事業所数" totalsRowFunction="sum" totalsRowDxfId="106" dataCellStyle="桁区切り" totalsRowCellStyle="桁区切り"/>
    <tableColumn id="15" xr3:uid="{BF82DC47-47E3-4355-880A-FFA173D0337C}" name="法人／構成比" dataDxfId="105"/>
    <tableColumn id="16" xr3:uid="{9C85E728-95E5-475E-AA48-B831C7227065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829F50ED-8FFA-458F-968B-BFC8C7644587}" name="M_TABLE_43506" displayName="M_TABLE_43506" ref="B23:I54" totalsRowShown="0">
  <autoFilter ref="B23:I54" xr:uid="{829F50ED-8FFA-458F-968B-BFC8C7644587}"/>
  <tableColumns count="8">
    <tableColumn id="9" xr3:uid="{58BBB8D7-11F0-427B-BDB1-C33A7658EE7C}" name="産業中分類上位２０"/>
    <tableColumn id="10" xr3:uid="{D7428E3B-B0DE-4483-ACAE-02FFAA05CCD9}" name="総数／事業所数" dataCellStyle="桁区切り"/>
    <tableColumn id="11" xr3:uid="{8B710762-14B3-4B8F-B959-6702766B1363}" name="総数／構成比" dataDxfId="103"/>
    <tableColumn id="12" xr3:uid="{557EB81C-CFBE-41C3-8FE8-B480DABCB4C2}" name="個人／事業所数" dataCellStyle="桁区切り"/>
    <tableColumn id="13" xr3:uid="{4209F77A-BBC0-42DA-A7CE-E1EA8D738A3E}" name="個人／構成比" dataDxfId="102"/>
    <tableColumn id="14" xr3:uid="{A6A8E3BA-6EE2-4BB7-8E88-1DE504A2F759}" name="法人／事業所数" dataCellStyle="桁区切り"/>
    <tableColumn id="15" xr3:uid="{28A4783E-F188-4364-8730-2AD62983DAC8}" name="法人／構成比" dataDxfId="101"/>
    <tableColumn id="16" xr3:uid="{90B372C5-6C49-4AF6-9CE7-AE0D0D6B0AF5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D86870E1-9ECF-439B-AD79-87CF4BD2CFEA}" name="S_TABLE_43506" displayName="S_TABLE_43506" ref="B57:I84" totalsRowShown="0">
  <autoFilter ref="B57:I84" xr:uid="{D86870E1-9ECF-439B-AD79-87CF4BD2CFEA}"/>
  <tableColumns count="8">
    <tableColumn id="9" xr3:uid="{CA94C79B-AA74-45BB-96FC-542FFC29F340}" name="産業小分類上位２０"/>
    <tableColumn id="10" xr3:uid="{ED753D92-8057-4FA7-916A-9065BA231C37}" name="総数／事業所数" dataCellStyle="桁区切り"/>
    <tableColumn id="11" xr3:uid="{4C6197D8-9A0C-49CC-926F-4BE73888EBDC}" name="総数／構成比" dataDxfId="100"/>
    <tableColumn id="12" xr3:uid="{BFD35790-A593-4C06-AE3E-A28A2941513B}" name="個人／事業所数" dataCellStyle="桁区切り"/>
    <tableColumn id="13" xr3:uid="{975941A8-4693-4447-A2B3-AC619047B158}" name="個人／構成比" dataDxfId="99"/>
    <tableColumn id="14" xr3:uid="{BACA034E-645F-4148-9BD7-79F79FF86E28}" name="法人／事業所数" dataCellStyle="桁区切り"/>
    <tableColumn id="15" xr3:uid="{A1DA4E17-016C-4849-8A3F-34C6FF11391D}" name="法人／構成比" dataDxfId="98"/>
    <tableColumn id="16" xr3:uid="{37FCD29A-2CA4-4302-99F9-B786011D3EB9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C52CA243-4E48-4CD0-AE2B-A66EF5DBD9C4}" name="LTBL_43507" displayName="LTBL_43507" ref="B4:I20" totalsRowCount="1">
  <autoFilter ref="B4:I19" xr:uid="{C52CA243-4E48-4CD0-AE2B-A66EF5DBD9C4}"/>
  <tableColumns count="8">
    <tableColumn id="9" xr3:uid="{8AF02F75-D6C3-4CC7-8795-BD9E0C588F9D}" name="産業大分類" totalsRowLabel="合計" totalsRowDxfId="97"/>
    <tableColumn id="10" xr3:uid="{41D60D09-9AAF-49F9-A5B1-FFD3FB4DA77A}" name="総数／事業所数" totalsRowFunction="custom" totalsRowDxfId="96" dataCellStyle="桁区切り" totalsRowCellStyle="桁区切り">
      <totalsRowFormula>SUM(LTBL_43507[総数／事業所数])</totalsRowFormula>
    </tableColumn>
    <tableColumn id="11" xr3:uid="{C8F502D9-D57C-47D5-88D3-D363900173D2}" name="総数／構成比" dataDxfId="95"/>
    <tableColumn id="12" xr3:uid="{22770CC3-ACF0-450E-A4B8-B69FB47E838B}" name="個人／事業所数" totalsRowFunction="sum" totalsRowDxfId="94" dataCellStyle="桁区切り" totalsRowCellStyle="桁区切り"/>
    <tableColumn id="13" xr3:uid="{BD13B01F-E9E0-4E2C-93FC-5C91A93199A6}" name="個人／構成比" dataDxfId="93"/>
    <tableColumn id="14" xr3:uid="{EA98B13C-13E6-4DD4-879D-7E14B8EF7AA0}" name="法人／事業所数" totalsRowFunction="sum" totalsRowDxfId="92" dataCellStyle="桁区切り" totalsRowCellStyle="桁区切り"/>
    <tableColumn id="15" xr3:uid="{35A37889-880F-4724-8F02-859BD646D5D6}" name="法人／構成比" dataDxfId="91"/>
    <tableColumn id="16" xr3:uid="{207E9AF9-36D2-4824-BC78-B294E8A0971D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A2CCD3D1-1B31-47CD-9B27-0AC16469A2A9}" name="M_TABLE_43507" displayName="M_TABLE_43507" ref="B23:I47" totalsRowShown="0">
  <autoFilter ref="B23:I47" xr:uid="{A2CCD3D1-1B31-47CD-9B27-0AC16469A2A9}"/>
  <tableColumns count="8">
    <tableColumn id="9" xr3:uid="{49A00F0F-3DDC-4C80-A614-A7B1EDC1999D}" name="産業中分類上位２０"/>
    <tableColumn id="10" xr3:uid="{222F9484-B16C-47E0-B38E-43534E44E3F7}" name="総数／事業所数" dataCellStyle="桁区切り"/>
    <tableColumn id="11" xr3:uid="{93CFD885-8108-46CA-A194-FAC538CF4B4E}" name="総数／構成比" dataDxfId="89"/>
    <tableColumn id="12" xr3:uid="{C77459D9-F249-42F8-8140-E33452E3A87C}" name="個人／事業所数" dataCellStyle="桁区切り"/>
    <tableColumn id="13" xr3:uid="{1EB61975-EB68-4DBB-AFD9-7C4BA36CE916}" name="個人／構成比" dataDxfId="88"/>
    <tableColumn id="14" xr3:uid="{4BEC37AB-FC35-404A-8BF6-BABD4C9EA763}" name="法人／事業所数" dataCellStyle="桁区切り"/>
    <tableColumn id="15" xr3:uid="{CB9131A9-96EC-4F24-989D-58CC59F635A6}" name="法人／構成比" dataDxfId="87"/>
    <tableColumn id="16" xr3:uid="{73EAE42B-3B6C-4822-830F-BF1451000588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C535B5CE-E1FC-4140-A84E-D5D8E55D95B1}" name="S_TABLE_43507" displayName="S_TABLE_43507" ref="B50:I90" totalsRowShown="0">
  <autoFilter ref="B50:I90" xr:uid="{C535B5CE-E1FC-4140-A84E-D5D8E55D95B1}"/>
  <tableColumns count="8">
    <tableColumn id="9" xr3:uid="{A86FDEAE-3961-41D6-A1AF-B04842771CF9}" name="産業小分類上位２０"/>
    <tableColumn id="10" xr3:uid="{35B142F0-B880-476C-86D8-208940AC7AAB}" name="総数／事業所数" dataCellStyle="桁区切り"/>
    <tableColumn id="11" xr3:uid="{1B2EEEF6-A50A-4D8B-B1A4-D3813B958FC3}" name="総数／構成比" dataDxfId="86"/>
    <tableColumn id="12" xr3:uid="{840629C6-4DFE-45EE-89C5-A28282BF1D0D}" name="個人／事業所数" dataCellStyle="桁区切り"/>
    <tableColumn id="13" xr3:uid="{F0F7EBB7-22B1-4C01-AEB0-5C9A3D43FF41}" name="個人／構成比" dataDxfId="85"/>
    <tableColumn id="14" xr3:uid="{FDEDA1D6-AE88-48AC-8C5D-A1F5BDB0EAF9}" name="法人／事業所数" dataCellStyle="桁区切り"/>
    <tableColumn id="15" xr3:uid="{C1537D56-C89A-475A-85E7-6343204AF949}" name="法人／構成比" dataDxfId="84"/>
    <tableColumn id="16" xr3:uid="{AA789012-EE43-4D28-BCA4-79AC0DD86A87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A21036F6-9F1B-42A0-A4CD-E7EB1C17F94A}" name="LTBL_43510" displayName="LTBL_43510" ref="B4:I20" totalsRowCount="1">
  <autoFilter ref="B4:I19" xr:uid="{A21036F6-9F1B-42A0-A4CD-E7EB1C17F94A}"/>
  <tableColumns count="8">
    <tableColumn id="9" xr3:uid="{0905E96E-6CEE-4133-B9C3-08F379E35D0E}" name="産業大分類" totalsRowLabel="合計" totalsRowDxfId="83"/>
    <tableColumn id="10" xr3:uid="{FCE899DF-C89A-4BCC-BC9C-A484AD8352C1}" name="総数／事業所数" totalsRowFunction="custom" totalsRowDxfId="82" dataCellStyle="桁区切り" totalsRowCellStyle="桁区切り">
      <totalsRowFormula>SUM(LTBL_43510[総数／事業所数])</totalsRowFormula>
    </tableColumn>
    <tableColumn id="11" xr3:uid="{D743DC28-BEA1-49BB-A33C-6053151A2D1D}" name="総数／構成比" dataDxfId="81"/>
    <tableColumn id="12" xr3:uid="{67C782D3-8EAD-494B-8200-06923FBAF677}" name="個人／事業所数" totalsRowFunction="sum" totalsRowDxfId="80" dataCellStyle="桁区切り" totalsRowCellStyle="桁区切り"/>
    <tableColumn id="13" xr3:uid="{37A08131-3AD8-425B-805D-27214396A800}" name="個人／構成比" dataDxfId="79"/>
    <tableColumn id="14" xr3:uid="{D0093BFC-79C2-4DEF-89E6-0DAF290E42ED}" name="法人／事業所数" totalsRowFunction="sum" totalsRowDxfId="78" dataCellStyle="桁区切り" totalsRowCellStyle="桁区切り"/>
    <tableColumn id="15" xr3:uid="{27B58F95-4BB4-4EE5-85F0-474478CF31E6}" name="法人／構成比" dataDxfId="77"/>
    <tableColumn id="16" xr3:uid="{2195CA3C-5BE3-47C6-BF53-1EB636DCDD5B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F69FC0D7-4D33-4011-81FD-7B34DD7FFACD}" name="M_TABLE_43510" displayName="M_TABLE_43510" ref="B23:I43" totalsRowShown="0">
  <autoFilter ref="B23:I43" xr:uid="{F69FC0D7-4D33-4011-81FD-7B34DD7FFACD}"/>
  <tableColumns count="8">
    <tableColumn id="9" xr3:uid="{E55F315D-192C-4FE8-BA20-0DF3E78EF335}" name="産業中分類上位２０"/>
    <tableColumn id="10" xr3:uid="{9EA20E21-5203-4AB6-956A-F5E3A8569088}" name="総数／事業所数" dataCellStyle="桁区切り"/>
    <tableColumn id="11" xr3:uid="{0E0429C3-D175-4C79-B011-D11D5ACF8A6B}" name="総数／構成比" dataDxfId="75"/>
    <tableColumn id="12" xr3:uid="{031333C8-FBA0-459B-B80C-858853D0231C}" name="個人／事業所数" dataCellStyle="桁区切り"/>
    <tableColumn id="13" xr3:uid="{125D7C23-795F-43E2-BC58-23BF2B1F6615}" name="個人／構成比" dataDxfId="74"/>
    <tableColumn id="14" xr3:uid="{26BC6E88-2B47-4147-9FC5-A563322FE157}" name="法人／事業所数" dataCellStyle="桁区切り"/>
    <tableColumn id="15" xr3:uid="{49DFEE58-DCD5-4DD7-B1E7-198121A6B7A8}" name="法人／構成比" dataDxfId="73"/>
    <tableColumn id="16" xr3:uid="{C0D617F7-862C-4F84-824B-B1BA371C606B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B8854CAD-1DCA-47D4-9DEB-FC3FC918EBE5}" name="S_TABLE_43510" displayName="S_TABLE_43510" ref="B46:I72" totalsRowShown="0">
  <autoFilter ref="B46:I72" xr:uid="{B8854CAD-1DCA-47D4-9DEB-FC3FC918EBE5}"/>
  <tableColumns count="8">
    <tableColumn id="9" xr3:uid="{CE4D7B48-441A-4426-AC4D-2C6C9305FD0E}" name="産業小分類上位２０"/>
    <tableColumn id="10" xr3:uid="{99F04A9B-00FD-47C9-AB64-09A6DFA5CF9E}" name="総数／事業所数" dataCellStyle="桁区切り"/>
    <tableColumn id="11" xr3:uid="{B7C78EF2-C139-4D37-B443-B5AEA840D428}" name="総数／構成比" dataDxfId="72"/>
    <tableColumn id="12" xr3:uid="{CC64D6DC-B8AA-4668-A2F6-20E9F8578DD3}" name="個人／事業所数" dataCellStyle="桁区切り"/>
    <tableColumn id="13" xr3:uid="{07AF3137-9F24-4E49-91EB-80A6995A9A11}" name="個人／構成比" dataDxfId="71"/>
    <tableColumn id="14" xr3:uid="{7D665383-4357-4992-ACBE-7821EE4896E1}" name="法人／事業所数" dataCellStyle="桁区切り"/>
    <tableColumn id="15" xr3:uid="{D12EFA33-93DA-4F2F-847C-70C23524BB12}" name="法人／構成比" dataDxfId="70"/>
    <tableColumn id="16" xr3:uid="{D1E44EE0-4794-476C-B248-F0DDE2650CE9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C840BC5D-D1D4-4107-83C5-6C52A0EDD32F}" name="LTBL_43511" displayName="LTBL_43511" ref="B4:I20" totalsRowCount="1">
  <autoFilter ref="B4:I19" xr:uid="{C840BC5D-D1D4-4107-83C5-6C52A0EDD32F}"/>
  <tableColumns count="8">
    <tableColumn id="9" xr3:uid="{93E60B6A-68F1-446D-B151-A1E3B367678C}" name="産業大分類" totalsRowLabel="合計" totalsRowDxfId="69"/>
    <tableColumn id="10" xr3:uid="{01C79231-F603-4D46-AF0F-F1C243088471}" name="総数／事業所数" totalsRowFunction="custom" totalsRowDxfId="68" dataCellStyle="桁区切り" totalsRowCellStyle="桁区切り">
      <totalsRowFormula>SUM(LTBL_43511[総数／事業所数])</totalsRowFormula>
    </tableColumn>
    <tableColumn id="11" xr3:uid="{ED71AD02-8BC4-42CC-8490-0E8EEC6AF164}" name="総数／構成比" dataDxfId="67"/>
    <tableColumn id="12" xr3:uid="{9C8B7CDC-38D4-418F-865A-03A617D2121B}" name="個人／事業所数" totalsRowFunction="sum" totalsRowDxfId="66" dataCellStyle="桁区切り" totalsRowCellStyle="桁区切り"/>
    <tableColumn id="13" xr3:uid="{77A8901B-216B-4A70-839B-F2EB4772EFDC}" name="個人／構成比" dataDxfId="65"/>
    <tableColumn id="14" xr3:uid="{F276F721-0044-4387-8846-970244735A4C}" name="法人／事業所数" totalsRowFunction="sum" totalsRowDxfId="64" dataCellStyle="桁区切り" totalsRowCellStyle="桁区切り"/>
    <tableColumn id="15" xr3:uid="{CC967E5E-09B2-4FCD-9AB0-0B575327CFDF}" name="法人／構成比" dataDxfId="63"/>
    <tableColumn id="16" xr3:uid="{D358D127-B4DF-4681-8977-88BD16656F49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7D892E2-98E2-43F1-AD73-94E6D525E853}" name="M_TABLE_43103" displayName="M_TABLE_43103" ref="B23:I43" totalsRowShown="0">
  <autoFilter ref="B23:I43" xr:uid="{17D892E2-98E2-43F1-AD73-94E6D525E853}"/>
  <tableColumns count="8">
    <tableColumn id="9" xr3:uid="{ACCD8A1E-31BB-47E6-9488-1B02EA7A3684}" name="産業中分類上位２０"/>
    <tableColumn id="10" xr3:uid="{752D11C7-2997-47F6-A562-E27277335B98}" name="総数／事業所数" dataCellStyle="桁区切り"/>
    <tableColumn id="11" xr3:uid="{C69178E8-78D3-4D63-B7C4-F60B21C0506B}" name="総数／構成比" dataDxfId="649"/>
    <tableColumn id="12" xr3:uid="{ACFEC707-7C6A-4453-8E1F-8B192C80191B}" name="個人／事業所数" dataCellStyle="桁区切り"/>
    <tableColumn id="13" xr3:uid="{9F46CC69-0067-4F77-B77A-EE01D3648A3E}" name="個人／構成比" dataDxfId="648"/>
    <tableColumn id="14" xr3:uid="{EB6E124B-528B-41D1-BD71-5E00A3B8C704}" name="法人／事業所数" dataCellStyle="桁区切り"/>
    <tableColumn id="15" xr3:uid="{B450D55B-BC26-4A31-BCA0-F985C1C9F2AC}" name="法人／構成比" dataDxfId="647"/>
    <tableColumn id="16" xr3:uid="{550E924C-92F9-4861-946C-AA663EEC981B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AF378978-0B66-4960-8DC0-9BD5F524AD02}" name="M_TABLE_43511" displayName="M_TABLE_43511" ref="B23:I38" totalsRowShown="0">
  <autoFilter ref="B23:I38" xr:uid="{AF378978-0B66-4960-8DC0-9BD5F524AD02}"/>
  <tableColumns count="8">
    <tableColumn id="9" xr3:uid="{E53FD16B-2255-404D-A9FE-275AB3052C2F}" name="産業中分類上位２０"/>
    <tableColumn id="10" xr3:uid="{E6EB0465-5180-4164-8283-0CDF8730B8CA}" name="総数／事業所数" dataCellStyle="桁区切り"/>
    <tableColumn id="11" xr3:uid="{631D575B-0685-45D6-98EE-52A7FB4B813C}" name="総数／構成比" dataDxfId="61"/>
    <tableColumn id="12" xr3:uid="{5268015E-4C1B-4CD5-A532-220FE0444519}" name="個人／事業所数" dataCellStyle="桁区切り"/>
    <tableColumn id="13" xr3:uid="{D7468D91-C466-46FF-9557-242F27215ED6}" name="個人／構成比" dataDxfId="60"/>
    <tableColumn id="14" xr3:uid="{81F05021-FB69-443E-BD0B-44D024FA238D}" name="法人／事業所数" dataCellStyle="桁区切り"/>
    <tableColumn id="15" xr3:uid="{251C0A02-2313-45B5-9F7A-1ABA2064A94B}" name="法人／構成比" dataDxfId="59"/>
    <tableColumn id="16" xr3:uid="{E6A6D73D-7C44-4C0E-B035-01B6B791D405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A7629E5-2817-487E-8A68-3F6DEC429A59}" name="S_TABLE_43511" displayName="S_TABLE_43511" ref="B41:I62" totalsRowShown="0">
  <autoFilter ref="B41:I62" xr:uid="{7A7629E5-2817-487E-8A68-3F6DEC429A59}"/>
  <tableColumns count="8">
    <tableColumn id="9" xr3:uid="{77D1709E-7054-42B4-9A7D-544215736A40}" name="産業小分類上位２０"/>
    <tableColumn id="10" xr3:uid="{B24BD98C-9E8D-4701-B2E5-83AE7474BCFD}" name="総数／事業所数" dataCellStyle="桁区切り"/>
    <tableColumn id="11" xr3:uid="{F20FA62E-C1C0-4B43-AB94-0B108E0F4AA0}" name="総数／構成比" dataDxfId="58"/>
    <tableColumn id="12" xr3:uid="{2FF255DB-75A9-4B9A-86FB-5CCCDBDE32E4}" name="個人／事業所数" dataCellStyle="桁区切り"/>
    <tableColumn id="13" xr3:uid="{9AC3C9F9-FC78-4523-A82C-A8A2A2AEFB30}" name="個人／構成比" dataDxfId="57"/>
    <tableColumn id="14" xr3:uid="{9BCFFF07-115E-4225-9E33-AC0CC66A210E}" name="法人／事業所数" dataCellStyle="桁区切り"/>
    <tableColumn id="15" xr3:uid="{2838D038-FEFD-49E6-8403-5CAE1DE5877E}" name="法人／構成比" dataDxfId="56"/>
    <tableColumn id="16" xr3:uid="{BC0CD59E-1019-4695-B964-1CA1045FC4E1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F62FA05-E758-46CB-8765-94944AE24D97}" name="LTBL_43512" displayName="LTBL_43512" ref="B4:I20" totalsRowCount="1">
  <autoFilter ref="B4:I19" xr:uid="{BF62FA05-E758-46CB-8765-94944AE24D97}"/>
  <tableColumns count="8">
    <tableColumn id="9" xr3:uid="{7D96A307-A529-4768-BD20-3DFA8AD8E2B0}" name="産業大分類" totalsRowLabel="合計" totalsRowDxfId="55"/>
    <tableColumn id="10" xr3:uid="{39817CA7-2F89-4FFD-9B3B-09B328678AD7}" name="総数／事業所数" totalsRowFunction="custom" totalsRowDxfId="54" dataCellStyle="桁区切り" totalsRowCellStyle="桁区切り">
      <totalsRowFormula>SUM(LTBL_43512[総数／事業所数])</totalsRowFormula>
    </tableColumn>
    <tableColumn id="11" xr3:uid="{32361C88-B74D-47B7-9F41-4CAE22ADCDE5}" name="総数／構成比" dataDxfId="53"/>
    <tableColumn id="12" xr3:uid="{DA388483-5730-47E6-9543-447C0E19BF4E}" name="個人／事業所数" totalsRowFunction="sum" totalsRowDxfId="52" dataCellStyle="桁区切り" totalsRowCellStyle="桁区切り"/>
    <tableColumn id="13" xr3:uid="{CDB95F46-D547-4098-BCE4-7C619E557C68}" name="個人／構成比" dataDxfId="51"/>
    <tableColumn id="14" xr3:uid="{DE680CEE-C2D6-4E27-9C10-9DF1223DC7E0}" name="法人／事業所数" totalsRowFunction="sum" totalsRowDxfId="50" dataCellStyle="桁区切り" totalsRowCellStyle="桁区切り"/>
    <tableColumn id="15" xr3:uid="{2719A4F9-663A-4270-8016-0839E57A5AD0}" name="法人／構成比" dataDxfId="49"/>
    <tableColumn id="16" xr3:uid="{ED9C3685-BCDB-4A55-B8BC-CAF919F356A8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8EBBBC3-644E-446C-BA15-69E1B4E7E2B5}" name="M_TABLE_43512" displayName="M_TABLE_43512" ref="B23:I48" totalsRowShown="0">
  <autoFilter ref="B23:I48" xr:uid="{28EBBBC3-644E-446C-BA15-69E1B4E7E2B5}"/>
  <tableColumns count="8">
    <tableColumn id="9" xr3:uid="{0C465F7B-44C7-4471-8C61-2EF176E48ED4}" name="産業中分類上位２０"/>
    <tableColumn id="10" xr3:uid="{1AAF3DBE-193B-4452-9F52-40CF12CB368E}" name="総数／事業所数" dataCellStyle="桁区切り"/>
    <tableColumn id="11" xr3:uid="{DBC02CC5-4DE2-47DC-9F2D-E41CB643E5F5}" name="総数／構成比" dataDxfId="47"/>
    <tableColumn id="12" xr3:uid="{AA96863C-57B5-4D91-8F65-9AAB801A9EB9}" name="個人／事業所数" dataCellStyle="桁区切り"/>
    <tableColumn id="13" xr3:uid="{F409D23D-6EC7-4578-8DAA-B50859DFB9D1}" name="個人／構成比" dataDxfId="46"/>
    <tableColumn id="14" xr3:uid="{9812851F-30D0-4AE8-98A9-910F12F4D888}" name="法人／事業所数" dataCellStyle="桁区切り"/>
    <tableColumn id="15" xr3:uid="{3FB8F9F1-FD8C-4AC9-8862-00B730329A05}" name="法人／構成比" dataDxfId="45"/>
    <tableColumn id="16" xr3:uid="{646F9856-2E46-4AFD-BD31-82CC56450ED3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89E52F3E-9AC2-472B-83E7-BFB1EA6D1D0C}" name="S_TABLE_43512" displayName="S_TABLE_43512" ref="B51:I89" totalsRowShown="0">
  <autoFilter ref="B51:I89" xr:uid="{89E52F3E-9AC2-472B-83E7-BFB1EA6D1D0C}"/>
  <tableColumns count="8">
    <tableColumn id="9" xr3:uid="{8AB79D7B-0829-466F-9E70-6E01F7C2ECA9}" name="産業小分類上位２０"/>
    <tableColumn id="10" xr3:uid="{EEFE2F34-86C4-48F1-84AA-4B2C57762827}" name="総数／事業所数" dataCellStyle="桁区切り"/>
    <tableColumn id="11" xr3:uid="{087A8FB7-87DB-4394-8B1C-1DD0B8DA83DA}" name="総数／構成比" dataDxfId="44"/>
    <tableColumn id="12" xr3:uid="{D293ED6A-10E1-435C-B704-A1968C31DBDA}" name="個人／事業所数" dataCellStyle="桁区切り"/>
    <tableColumn id="13" xr3:uid="{F69C0E74-2B49-43FD-92F6-7C1E13E0455F}" name="個人／構成比" dataDxfId="43"/>
    <tableColumn id="14" xr3:uid="{9459808D-FE74-4314-9D5E-6D54F82B87C7}" name="法人／事業所数" dataCellStyle="桁区切り"/>
    <tableColumn id="15" xr3:uid="{83514E23-6A00-498F-A055-DCFAC433299E}" name="法人／構成比" dataDxfId="42"/>
    <tableColumn id="16" xr3:uid="{AE10965A-3141-4E2E-A09B-8CE757310174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1460C615-D448-4DB3-A068-406A06017137}" name="LTBL_43513" displayName="LTBL_43513" ref="B4:I20" totalsRowCount="1">
  <autoFilter ref="B4:I19" xr:uid="{1460C615-D448-4DB3-A068-406A06017137}"/>
  <tableColumns count="8">
    <tableColumn id="9" xr3:uid="{025856EB-1B95-4FC8-9958-40330FAB5B69}" name="産業大分類" totalsRowLabel="合計" totalsRowDxfId="41"/>
    <tableColumn id="10" xr3:uid="{8D47C6B5-6C4B-497D-BC26-CF4F2DAF2103}" name="総数／事業所数" totalsRowFunction="custom" totalsRowDxfId="40" dataCellStyle="桁区切り" totalsRowCellStyle="桁区切り">
      <totalsRowFormula>SUM(LTBL_43513[総数／事業所数])</totalsRowFormula>
    </tableColumn>
    <tableColumn id="11" xr3:uid="{3994CBB8-F12B-4FEA-8603-8A0034BE65F1}" name="総数／構成比" dataDxfId="39"/>
    <tableColumn id="12" xr3:uid="{66B1CFEB-B542-4813-BA9E-F74FB750513C}" name="個人／事業所数" totalsRowFunction="sum" totalsRowDxfId="38" dataCellStyle="桁区切り" totalsRowCellStyle="桁区切り"/>
    <tableColumn id="13" xr3:uid="{F2A3CF19-75C5-4C6B-82B8-49BFF01EA4B2}" name="個人／構成比" dataDxfId="37"/>
    <tableColumn id="14" xr3:uid="{EEC82347-C37F-4A39-8897-9EAF05F13C28}" name="法人／事業所数" totalsRowFunction="sum" totalsRowDxfId="36" dataCellStyle="桁区切り" totalsRowCellStyle="桁区切り"/>
    <tableColumn id="15" xr3:uid="{CA03A6E4-741B-43EB-9296-C6CA5B14C894}" name="法人／構成比" dataDxfId="35"/>
    <tableColumn id="16" xr3:uid="{E7B01112-24BF-49BD-B568-0E4718BED7EC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E7737813-11E0-428E-B082-909321F5211B}" name="M_TABLE_43513" displayName="M_TABLE_43513" ref="B23:I41" totalsRowShown="0">
  <autoFilter ref="B23:I41" xr:uid="{E7737813-11E0-428E-B082-909321F5211B}"/>
  <tableColumns count="8">
    <tableColumn id="9" xr3:uid="{28BE7902-C64C-41C8-BB18-A8677C0E50BF}" name="産業中分類上位２０"/>
    <tableColumn id="10" xr3:uid="{9187991E-E623-47F2-9DF2-60F62221D604}" name="総数／事業所数" dataCellStyle="桁区切り"/>
    <tableColumn id="11" xr3:uid="{3059D061-BDFF-4C66-9F5A-145A665A0D70}" name="総数／構成比" dataDxfId="33"/>
    <tableColumn id="12" xr3:uid="{3E20B04A-3F17-4115-8864-FD7C9EFDD794}" name="個人／事業所数" dataCellStyle="桁区切り"/>
    <tableColumn id="13" xr3:uid="{837387D2-FC5D-4C61-871C-9DB5D58BD7AA}" name="個人／構成比" dataDxfId="32"/>
    <tableColumn id="14" xr3:uid="{59E1AFA2-91CA-4C16-94D7-D1E142967066}" name="法人／事業所数" dataCellStyle="桁区切り"/>
    <tableColumn id="15" xr3:uid="{D5058708-CE65-4099-8A4B-E22CE3ED21C4}" name="法人／構成比" dataDxfId="31"/>
    <tableColumn id="16" xr3:uid="{D683E949-43EA-4AC7-920C-C81FB3D568C4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21037D6-97B6-4D69-8AB6-42B555EA160E}" name="S_TABLE_43513" displayName="S_TABLE_43513" ref="B44:I70" totalsRowShown="0">
  <autoFilter ref="B44:I70" xr:uid="{021037D6-97B6-4D69-8AB6-42B555EA160E}"/>
  <tableColumns count="8">
    <tableColumn id="9" xr3:uid="{85761DDD-C52C-4D45-A50B-666F502A8D72}" name="産業小分類上位２０"/>
    <tableColumn id="10" xr3:uid="{60075BAD-9896-46C7-B63E-B11C60F786DF}" name="総数／事業所数" dataCellStyle="桁区切り"/>
    <tableColumn id="11" xr3:uid="{5616E9B5-5ED3-4064-BA70-6343D3CA9C9F}" name="総数／構成比" dataDxfId="30"/>
    <tableColumn id="12" xr3:uid="{3E4046CE-EE10-48BC-A2F3-970E99DB138A}" name="個人／事業所数" dataCellStyle="桁区切り"/>
    <tableColumn id="13" xr3:uid="{AF835872-F4BD-4BD8-A442-86C6356D3ABB}" name="個人／構成比" dataDxfId="29"/>
    <tableColumn id="14" xr3:uid="{E56A4204-4EB7-47BC-9C25-41EA28791B9D}" name="法人／事業所数" dataCellStyle="桁区切り"/>
    <tableColumn id="15" xr3:uid="{018EB1DE-0176-47E1-86D5-04EB9C5FCAED}" name="法人／構成比" dataDxfId="28"/>
    <tableColumn id="16" xr3:uid="{841245DC-FD3F-4D50-9965-FD5F0366F31E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9850D97A-89B3-4660-827E-CBB3ABA8075A}" name="LTBL_43514" displayName="LTBL_43514" ref="B4:I20" totalsRowCount="1">
  <autoFilter ref="B4:I19" xr:uid="{9850D97A-89B3-4660-827E-CBB3ABA8075A}"/>
  <tableColumns count="8">
    <tableColumn id="9" xr3:uid="{95BD46AF-1A01-4EB4-A934-8056EE3B1B18}" name="産業大分類" totalsRowLabel="合計" totalsRowDxfId="27"/>
    <tableColumn id="10" xr3:uid="{125C9852-036F-42BB-B5C1-807DF9DBDFC9}" name="総数／事業所数" totalsRowFunction="custom" totalsRowDxfId="26" dataCellStyle="桁区切り" totalsRowCellStyle="桁区切り">
      <totalsRowFormula>SUM(LTBL_43514[総数／事業所数])</totalsRowFormula>
    </tableColumn>
    <tableColumn id="11" xr3:uid="{7B58280A-75B7-4AB0-B199-0261FB1F1489}" name="総数／構成比" dataDxfId="25"/>
    <tableColumn id="12" xr3:uid="{75BCB8F0-F37E-473C-BC14-3291D320D64B}" name="個人／事業所数" totalsRowFunction="sum" totalsRowDxfId="24" dataCellStyle="桁区切り" totalsRowCellStyle="桁区切り"/>
    <tableColumn id="13" xr3:uid="{5C347888-107F-4C10-B794-83112EC44838}" name="個人／構成比" dataDxfId="23"/>
    <tableColumn id="14" xr3:uid="{43F50585-C819-4FB0-9B10-0D6D6E98AB50}" name="法人／事業所数" totalsRowFunction="sum" totalsRowDxfId="22" dataCellStyle="桁区切り" totalsRowCellStyle="桁区切り"/>
    <tableColumn id="15" xr3:uid="{9049F0BC-757D-4455-8B2E-51039606823C}" name="法人／構成比" dataDxfId="21"/>
    <tableColumn id="16" xr3:uid="{CBE92090-C5BB-4EA6-BCFB-28D54AB4EFF1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A611F7A-9AD9-4C51-AF19-1C7F0D8AA693}" name="M_TABLE_43514" displayName="M_TABLE_43514" ref="B23:I43" totalsRowShown="0">
  <autoFilter ref="B23:I43" xr:uid="{5A611F7A-9AD9-4C51-AF19-1C7F0D8AA693}"/>
  <tableColumns count="8">
    <tableColumn id="9" xr3:uid="{0089AA14-23E6-4042-9D4E-E9CB47F7AC2A}" name="産業中分類上位２０"/>
    <tableColumn id="10" xr3:uid="{1260036F-1AC9-4DD6-9B86-19C40BB0E4D7}" name="総数／事業所数" dataCellStyle="桁区切り"/>
    <tableColumn id="11" xr3:uid="{99AFD9AD-D690-4263-92A2-E0038208AC7D}" name="総数／構成比" dataDxfId="19"/>
    <tableColumn id="12" xr3:uid="{1F2CE160-4D4C-42AC-974A-BB80AC50DCF0}" name="個人／事業所数" dataCellStyle="桁区切り"/>
    <tableColumn id="13" xr3:uid="{5578F1BB-1CAB-4D30-B723-06AAF2854280}" name="個人／構成比" dataDxfId="18"/>
    <tableColumn id="14" xr3:uid="{D806A20C-FBE9-4777-8962-3EC7331F2A47}" name="法人／事業所数" dataCellStyle="桁区切り"/>
    <tableColumn id="15" xr3:uid="{398DB8F8-D140-4944-B827-7ECCB021B72F}" name="法人／構成比" dataDxfId="17"/>
    <tableColumn id="16" xr3:uid="{FB7D9B89-DB38-44A0-9418-C3C2D1782F9D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53EEA1E-487D-4971-9F60-5D46ED505B4F}" name="S_TABLE_43103" displayName="S_TABLE_43103" ref="B46:I68" totalsRowShown="0">
  <autoFilter ref="B46:I68" xr:uid="{353EEA1E-487D-4971-9F60-5D46ED505B4F}"/>
  <tableColumns count="8">
    <tableColumn id="9" xr3:uid="{ADEDC125-3915-4930-8D4F-EC3B9109C640}" name="産業小分類上位２０"/>
    <tableColumn id="10" xr3:uid="{EE69DC7F-40E7-420C-8A3E-B121091D4243}" name="総数／事業所数" dataCellStyle="桁区切り"/>
    <tableColumn id="11" xr3:uid="{583B2D8E-B591-4D6F-9EBA-F7B6F8469C2E}" name="総数／構成比" dataDxfId="646"/>
    <tableColumn id="12" xr3:uid="{4FBC1DB8-1F5D-4C9C-B0CD-76647F9838C6}" name="個人／事業所数" dataCellStyle="桁区切り"/>
    <tableColumn id="13" xr3:uid="{2A345D59-EE47-4D91-8062-1741E9024773}" name="個人／構成比" dataDxfId="645"/>
    <tableColumn id="14" xr3:uid="{70BAAE70-A309-4847-9FAC-6F52F8C67940}" name="法人／事業所数" dataCellStyle="桁区切り"/>
    <tableColumn id="15" xr3:uid="{B14BAF15-BA95-450E-B578-2C0572FEA916}" name="法人／構成比" dataDxfId="644"/>
    <tableColumn id="16" xr3:uid="{D26A9346-838C-4FC5-8ADE-26C28075B415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A7AA26EA-604E-45E6-BC1F-60E8A96A3608}" name="S_TABLE_43514" displayName="S_TABLE_43514" ref="B46:I67" totalsRowShown="0">
  <autoFilter ref="B46:I67" xr:uid="{A7AA26EA-604E-45E6-BC1F-60E8A96A3608}"/>
  <tableColumns count="8">
    <tableColumn id="9" xr3:uid="{DA420AEE-43DD-4221-B669-B24B9E57F19A}" name="産業小分類上位２０"/>
    <tableColumn id="10" xr3:uid="{58C74DC1-8750-4255-8395-6341DD611EA0}" name="総数／事業所数" dataCellStyle="桁区切り"/>
    <tableColumn id="11" xr3:uid="{5AC25959-99F2-4D05-A28D-7C5601C81B80}" name="総数／構成比" dataDxfId="16"/>
    <tableColumn id="12" xr3:uid="{3059B80F-6041-4CFB-B576-C34B8B0F36AF}" name="個人／事業所数" dataCellStyle="桁区切り"/>
    <tableColumn id="13" xr3:uid="{83C09CC7-202E-44FD-8B79-9B4C1189DC93}" name="個人／構成比" dataDxfId="15"/>
    <tableColumn id="14" xr3:uid="{86D8C65A-9B3B-4F2B-8BF1-E05CF8541712}" name="法人／事業所数" dataCellStyle="桁区切り"/>
    <tableColumn id="15" xr3:uid="{8747DACF-C4FD-4954-B678-13161B2EF31E}" name="法人／構成比" dataDxfId="14"/>
    <tableColumn id="16" xr3:uid="{E42ABA65-E262-45AF-8DD6-26BCDD42FAD5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E56C12D8-CA85-47AD-B645-9B83F0F76444}" name="LTBL_43531" displayName="LTBL_43531" ref="B4:I20" totalsRowCount="1">
  <autoFilter ref="B4:I19" xr:uid="{E56C12D8-CA85-47AD-B645-9B83F0F76444}"/>
  <tableColumns count="8">
    <tableColumn id="9" xr3:uid="{61F82144-A8B5-4A14-A0E0-A140D2BC8BD1}" name="産業大分類" totalsRowLabel="合計" totalsRowDxfId="13"/>
    <tableColumn id="10" xr3:uid="{EB5ABBCF-2AF1-4FB0-BCE7-FA7C9F8E1792}" name="総数／事業所数" totalsRowFunction="custom" totalsRowDxfId="12" dataCellStyle="桁区切り" totalsRowCellStyle="桁区切り">
      <totalsRowFormula>SUM(LTBL_43531[総数／事業所数])</totalsRowFormula>
    </tableColumn>
    <tableColumn id="11" xr3:uid="{EFF871DF-7AA4-4F5B-ACA6-D62892514984}" name="総数／構成比" dataDxfId="11"/>
    <tableColumn id="12" xr3:uid="{B18129DA-D2E9-4B3B-85EF-34FF82A6DAE9}" name="個人／事業所数" totalsRowFunction="sum" totalsRowDxfId="10" dataCellStyle="桁区切り" totalsRowCellStyle="桁区切り"/>
    <tableColumn id="13" xr3:uid="{FA3691B0-B0ED-4042-A592-72964F7DE53B}" name="個人／構成比" dataDxfId="9"/>
    <tableColumn id="14" xr3:uid="{5DE81C1A-B9B3-493B-BF18-5221E8AB6EBB}" name="法人／事業所数" totalsRowFunction="sum" totalsRowDxfId="8" dataCellStyle="桁区切り" totalsRowCellStyle="桁区切り"/>
    <tableColumn id="15" xr3:uid="{34799A6B-28AC-494A-9065-285EB99034F2}" name="法人／構成比" dataDxfId="7"/>
    <tableColumn id="16" xr3:uid="{067C881B-CE8A-4186-84E7-EA1978F17D3D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1020C12C-7D9C-4F1E-A3A1-7215E9AAABF3}" name="M_TABLE_43531" displayName="M_TABLE_43531" ref="B23:I46" totalsRowShown="0">
  <autoFilter ref="B23:I46" xr:uid="{1020C12C-7D9C-4F1E-A3A1-7215E9AAABF3}"/>
  <tableColumns count="8">
    <tableColumn id="9" xr3:uid="{90AB257E-D874-4A16-94C1-DCF0EC355412}" name="産業中分類上位２０"/>
    <tableColumn id="10" xr3:uid="{E6EFAD88-0492-41EE-B1C7-BE4F509D2BFD}" name="総数／事業所数" dataCellStyle="桁区切り"/>
    <tableColumn id="11" xr3:uid="{EBCC6D01-B438-412F-B1A9-B5796CBF9893}" name="総数／構成比" dataDxfId="5"/>
    <tableColumn id="12" xr3:uid="{947366C7-9002-4564-8B08-DB69C3E2BA59}" name="個人／事業所数" dataCellStyle="桁区切り"/>
    <tableColumn id="13" xr3:uid="{CE692A3A-7F3D-4C8A-AE69-C1FFD0A0BF7B}" name="個人／構成比" dataDxfId="4"/>
    <tableColumn id="14" xr3:uid="{F9EC1DE9-3C47-4DC5-A3FF-03E9E8D01A2F}" name="法人／事業所数" dataCellStyle="桁区切り"/>
    <tableColumn id="15" xr3:uid="{9DF57233-F9AD-4FBD-97E6-56BD2FCA74BC}" name="法人／構成比" dataDxfId="3"/>
    <tableColumn id="16" xr3:uid="{77CAC31A-5800-41B7-9F91-FC6435FE4773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846C7F5C-786B-4E3F-97DD-BCB45AE4B71D}" name="S_TABLE_43531" displayName="S_TABLE_43531" ref="B49:I77" totalsRowShown="0">
  <autoFilter ref="B49:I77" xr:uid="{846C7F5C-786B-4E3F-97DD-BCB45AE4B71D}"/>
  <tableColumns count="8">
    <tableColumn id="9" xr3:uid="{1E18C74E-60B7-40A3-8BC3-BF5736A0C3DB}" name="産業小分類上位２０"/>
    <tableColumn id="10" xr3:uid="{E4BF1417-DE7B-4CC4-944C-D77FC5D86CC6}" name="総数／事業所数" dataCellStyle="桁区切り"/>
    <tableColumn id="11" xr3:uid="{0583070F-B1A2-4F8F-83EF-B5BB35C95BC1}" name="総数／構成比" dataDxfId="2"/>
    <tableColumn id="12" xr3:uid="{B777935F-3BB9-4F9B-957A-F32C63E8A8E9}" name="個人／事業所数" dataCellStyle="桁区切り"/>
    <tableColumn id="13" xr3:uid="{3CACB7BB-E22F-4418-9779-0FB6E8FFAFD4}" name="個人／構成比" dataDxfId="1"/>
    <tableColumn id="14" xr3:uid="{996E1E14-DE63-4F46-B04F-A7450734CBA1}" name="法人／事業所数" dataCellStyle="桁区切り"/>
    <tableColumn id="15" xr3:uid="{1B95C1AF-10E6-4400-958A-97954699617D}" name="法人／構成比" dataDxfId="0"/>
    <tableColumn id="16" xr3:uid="{4D307FA3-D536-431D-BCB2-470CB57F01EB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1B25BEF-6DA0-4AF3-9775-73DF88702B2E}" name="LTBL_43104" displayName="LTBL_43104" ref="B4:I20" totalsRowCount="1">
  <autoFilter ref="B4:I19" xr:uid="{81B25BEF-6DA0-4AF3-9775-73DF88702B2E}"/>
  <tableColumns count="8">
    <tableColumn id="9" xr3:uid="{CD125839-2A35-4294-B64A-866DF922D261}" name="産業大分類" totalsRowLabel="合計" totalsRowDxfId="643"/>
    <tableColumn id="10" xr3:uid="{920E7DA4-1191-454B-88FB-633C2E3F3BDA}" name="総数／事業所数" totalsRowFunction="custom" totalsRowDxfId="642" dataCellStyle="桁区切り" totalsRowCellStyle="桁区切り">
      <totalsRowFormula>SUM(LTBL_43104[総数／事業所数])</totalsRowFormula>
    </tableColumn>
    <tableColumn id="11" xr3:uid="{A802AB2C-5097-46DB-B320-64230B7C140D}" name="総数／構成比" dataDxfId="641"/>
    <tableColumn id="12" xr3:uid="{75EB8580-1E68-4165-916B-12D566C3AA5A}" name="個人／事業所数" totalsRowFunction="sum" totalsRowDxfId="640" dataCellStyle="桁区切り" totalsRowCellStyle="桁区切り"/>
    <tableColumn id="13" xr3:uid="{8451B62A-40F9-4C8A-A7F4-1A372F7556FD}" name="個人／構成比" dataDxfId="639"/>
    <tableColumn id="14" xr3:uid="{65F3E68A-EEC0-46E7-9999-5C49042413F8}" name="法人／事業所数" totalsRowFunction="sum" totalsRowDxfId="638" dataCellStyle="桁区切り" totalsRowCellStyle="桁区切り"/>
    <tableColumn id="15" xr3:uid="{3B87E2C0-F816-465F-84FA-3EC486B35EFA}" name="法人／構成比" dataDxfId="637"/>
    <tableColumn id="16" xr3:uid="{E95BDCD6-11F3-4CDA-8A88-AAC4240D8528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E2E5B38-3DC7-4D79-82D5-44D4965ED6C6}" name="M_TABLE_43104" displayName="M_TABLE_43104" ref="B23:I43" totalsRowShown="0">
  <autoFilter ref="B23:I43" xr:uid="{FE2E5B38-3DC7-4D79-82D5-44D4965ED6C6}"/>
  <tableColumns count="8">
    <tableColumn id="9" xr3:uid="{6E2D576B-3FCE-46FF-8215-DAF93ED39C19}" name="産業中分類上位２０"/>
    <tableColumn id="10" xr3:uid="{D06FAFFD-1972-4142-B35A-BF111FBFC13E}" name="総数／事業所数" dataCellStyle="桁区切り"/>
    <tableColumn id="11" xr3:uid="{1A765CD2-AC94-4476-B6B2-E1250502DF51}" name="総数／構成比" dataDxfId="635"/>
    <tableColumn id="12" xr3:uid="{7A5DE2AE-65F3-4E40-A80F-DFDEFB710420}" name="個人／事業所数" dataCellStyle="桁区切り"/>
    <tableColumn id="13" xr3:uid="{A0692A53-9FFE-4168-871F-C4CD0C76FF03}" name="個人／構成比" dataDxfId="634"/>
    <tableColumn id="14" xr3:uid="{DAE2AFBE-AC58-4C05-B7A0-1013D718650A}" name="法人／事業所数" dataCellStyle="桁区切り"/>
    <tableColumn id="15" xr3:uid="{E513E3E5-E479-4B3E-8782-23B21DA2010D}" name="法人／構成比" dataDxfId="633"/>
    <tableColumn id="16" xr3:uid="{FE2C0314-CE48-4409-9B9F-E33CB0147FA2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8357226-C253-496B-B4B8-FC9B42D4D564}" name="S_TABLE_43104" displayName="S_TABLE_43104" ref="B46:I66" totalsRowShown="0">
  <autoFilter ref="B46:I66" xr:uid="{B8357226-C253-496B-B4B8-FC9B42D4D564}"/>
  <tableColumns count="8">
    <tableColumn id="9" xr3:uid="{C494D7DC-2109-4148-B87F-50DE3A938310}" name="産業小分類上位２０"/>
    <tableColumn id="10" xr3:uid="{1B5FCAE8-AFA7-4B3E-B11F-BC7A62E01550}" name="総数／事業所数" dataCellStyle="桁区切り"/>
    <tableColumn id="11" xr3:uid="{0B801928-77DB-4FCF-8732-25116156E6B8}" name="総数／構成比" dataDxfId="632"/>
    <tableColumn id="12" xr3:uid="{E80CB001-E088-4239-B3BA-7899B7C4C598}" name="個人／事業所数" dataCellStyle="桁区切り"/>
    <tableColumn id="13" xr3:uid="{3346A607-A27F-49EF-9705-B975BCB278EF}" name="個人／構成比" dataDxfId="631"/>
    <tableColumn id="14" xr3:uid="{11677D35-B8E4-4E4C-880E-604FB591A63E}" name="法人／事業所数" dataCellStyle="桁区切り"/>
    <tableColumn id="15" xr3:uid="{378C4E59-C357-44A2-ADB2-EAE7268C1927}" name="法人／構成比" dataDxfId="630"/>
    <tableColumn id="16" xr3:uid="{3682FBCB-606A-421A-BF67-34C0B8C5F195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ED35F0C-3D75-4878-BB23-F00402566BDB}" name="LTBL_43105" displayName="LTBL_43105" ref="B4:I20" totalsRowCount="1">
  <autoFilter ref="B4:I19" xr:uid="{CED35F0C-3D75-4878-BB23-F00402566BDB}"/>
  <tableColumns count="8">
    <tableColumn id="9" xr3:uid="{AB6A6D78-9C93-462E-A9D6-A242F70C2F6C}" name="産業大分類" totalsRowLabel="合計" totalsRowDxfId="629"/>
    <tableColumn id="10" xr3:uid="{4BFF948D-AB2D-4E33-9F6C-9994A04E60C8}" name="総数／事業所数" totalsRowFunction="custom" totalsRowDxfId="628" dataCellStyle="桁区切り" totalsRowCellStyle="桁区切り">
      <totalsRowFormula>SUM(LTBL_43105[総数／事業所数])</totalsRowFormula>
    </tableColumn>
    <tableColumn id="11" xr3:uid="{F3313DDC-10A9-4FAA-8FC7-CAFC2C1925D9}" name="総数／構成比" dataDxfId="627"/>
    <tableColumn id="12" xr3:uid="{5B803ECE-4FE6-4A85-8550-9B940A689663}" name="個人／事業所数" totalsRowFunction="sum" totalsRowDxfId="626" dataCellStyle="桁区切り" totalsRowCellStyle="桁区切り"/>
    <tableColumn id="13" xr3:uid="{2C16FDEC-05FC-4A75-8552-C0A8E8E7BE6A}" name="個人／構成比" dataDxfId="625"/>
    <tableColumn id="14" xr3:uid="{9386B84F-F25C-4D7C-A6BB-DF616A55DF56}" name="法人／事業所数" totalsRowFunction="sum" totalsRowDxfId="624" dataCellStyle="桁区切り" totalsRowCellStyle="桁区切り"/>
    <tableColumn id="15" xr3:uid="{0C9427D8-BC56-46B2-B3E9-F38110C020A1}" name="法人／構成比" dataDxfId="623"/>
    <tableColumn id="16" xr3:uid="{2DA5667F-90BC-41EF-B842-D4B265190B8E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AFDC63-CC2F-40A6-88F3-D7B237B4C332}" name="M_TABLE_43000" displayName="M_TABLE_43000" ref="B23:I43" totalsRowShown="0">
  <autoFilter ref="B23:I43" xr:uid="{07AFDC63-CC2F-40A6-88F3-D7B237B4C332}"/>
  <tableColumns count="8">
    <tableColumn id="9" xr3:uid="{55FD5B6E-330D-4C2C-A2D6-47F06E0FFF67}" name="産業中分類上位２０"/>
    <tableColumn id="10" xr3:uid="{E9829EFE-62EE-418F-8E86-6749ABA0ED97}" name="総数／事業所数" dataCellStyle="桁区切り"/>
    <tableColumn id="11" xr3:uid="{F52C2AFE-9851-4003-9A93-619E33947EEA}" name="総数／構成比" dataDxfId="705"/>
    <tableColumn id="12" xr3:uid="{75AEE231-6A3F-486D-A5A5-1925D9439D37}" name="個人／事業所数" dataCellStyle="桁区切り"/>
    <tableColumn id="13" xr3:uid="{259A8E9F-B35D-4AA0-AEEB-796851329593}" name="個人／構成比" dataDxfId="704"/>
    <tableColumn id="14" xr3:uid="{254FFC0E-50F6-4380-B546-2C6815FE06AF}" name="法人／事業所数" dataCellStyle="桁区切り"/>
    <tableColumn id="15" xr3:uid="{AED6CB96-7231-40AC-B491-A448CA690E38}" name="法人／構成比" dataDxfId="703"/>
    <tableColumn id="16" xr3:uid="{4A1F3496-B3BB-41A2-BC06-1FA84ACAEE2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362D88D-27EE-497B-B42B-BB43AD572176}" name="M_TABLE_43105" displayName="M_TABLE_43105" ref="B23:I43" totalsRowShown="0">
  <autoFilter ref="B23:I43" xr:uid="{6362D88D-27EE-497B-B42B-BB43AD572176}"/>
  <tableColumns count="8">
    <tableColumn id="9" xr3:uid="{08A7F5ED-1325-4152-8CF8-864058AE1727}" name="産業中分類上位２０"/>
    <tableColumn id="10" xr3:uid="{EAB3CA0D-EE34-4821-8A1E-873DC02F4873}" name="総数／事業所数" dataCellStyle="桁区切り"/>
    <tableColumn id="11" xr3:uid="{5C8EC968-0648-4AA7-A29C-51D287D5569F}" name="総数／構成比" dataDxfId="621"/>
    <tableColumn id="12" xr3:uid="{9B180198-1039-419B-9600-DDF08AB79EB9}" name="個人／事業所数" dataCellStyle="桁区切り"/>
    <tableColumn id="13" xr3:uid="{6E367525-3352-43A2-9F6F-52501A3F588C}" name="個人／構成比" dataDxfId="620"/>
    <tableColumn id="14" xr3:uid="{009F1A17-1087-49B4-A2B0-86880865C3F4}" name="法人／事業所数" dataCellStyle="桁区切り"/>
    <tableColumn id="15" xr3:uid="{6166CF08-6A96-4025-9F34-0E2E5DC11FD2}" name="法人／構成比" dataDxfId="619"/>
    <tableColumn id="16" xr3:uid="{AB2FAC91-1677-4A92-BAE6-120B096D3CC1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580B574-B3DE-4106-AD2A-F1D6BB842FCD}" name="S_TABLE_43105" displayName="S_TABLE_43105" ref="B46:I66" totalsRowShown="0">
  <autoFilter ref="B46:I66" xr:uid="{0580B574-B3DE-4106-AD2A-F1D6BB842FCD}"/>
  <tableColumns count="8">
    <tableColumn id="9" xr3:uid="{BC2DB3D5-483C-49A2-BB85-B32FB38EF449}" name="産業小分類上位２０"/>
    <tableColumn id="10" xr3:uid="{915433B8-7346-48AF-855C-39070BE56B0B}" name="総数／事業所数" dataCellStyle="桁区切り"/>
    <tableColumn id="11" xr3:uid="{8BF2FE3E-F0C5-4AFA-BA95-A1A8492426C1}" name="総数／構成比" dataDxfId="618"/>
    <tableColumn id="12" xr3:uid="{DF31EE8F-1F65-49D8-A862-351E6A424D2D}" name="個人／事業所数" dataCellStyle="桁区切り"/>
    <tableColumn id="13" xr3:uid="{9A15D65D-2CCB-4899-BDD2-AB75EDBEDA54}" name="個人／構成比" dataDxfId="617"/>
    <tableColumn id="14" xr3:uid="{C0FFB5CF-70D0-4E66-82E4-863887E59CFE}" name="法人／事業所数" dataCellStyle="桁区切り"/>
    <tableColumn id="15" xr3:uid="{36632A28-B96D-46B3-9B55-81ABDEF86012}" name="法人／構成比" dataDxfId="616"/>
    <tableColumn id="16" xr3:uid="{A5ADB110-D607-4277-AD47-C70F117C156B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B543EF0-6B2B-4F34-823F-8AFCC233E3C4}" name="LTBL_43202" displayName="LTBL_43202" ref="B4:I20" totalsRowCount="1">
  <autoFilter ref="B4:I19" xr:uid="{AB543EF0-6B2B-4F34-823F-8AFCC233E3C4}"/>
  <tableColumns count="8">
    <tableColumn id="9" xr3:uid="{BBE7AA17-9285-4E34-B0CD-76082A1974AD}" name="産業大分類" totalsRowLabel="合計" totalsRowDxfId="615"/>
    <tableColumn id="10" xr3:uid="{B9F86013-1405-4869-9BBC-A0294C2F8E64}" name="総数／事業所数" totalsRowFunction="custom" totalsRowDxfId="614" dataCellStyle="桁区切り" totalsRowCellStyle="桁区切り">
      <totalsRowFormula>SUM(LTBL_43202[総数／事業所数])</totalsRowFormula>
    </tableColumn>
    <tableColumn id="11" xr3:uid="{54C2281F-4D22-49EB-8ECA-B2CEE465D324}" name="総数／構成比" dataDxfId="613"/>
    <tableColumn id="12" xr3:uid="{34388F5E-2407-4E69-B0FC-DA43D5820A89}" name="個人／事業所数" totalsRowFunction="sum" totalsRowDxfId="612" dataCellStyle="桁区切り" totalsRowCellStyle="桁区切り"/>
    <tableColumn id="13" xr3:uid="{BB4AD472-DF85-4602-8616-5B2247F0D159}" name="個人／構成比" dataDxfId="611"/>
    <tableColumn id="14" xr3:uid="{03B7324C-446D-4E7A-99D2-6EA08AB9CEED}" name="法人／事業所数" totalsRowFunction="sum" totalsRowDxfId="610" dataCellStyle="桁区切り" totalsRowCellStyle="桁区切り"/>
    <tableColumn id="15" xr3:uid="{1AE4AD8F-7C3D-4AF1-8212-865A6225B632}" name="法人／構成比" dataDxfId="609"/>
    <tableColumn id="16" xr3:uid="{41351773-5821-4AF6-A4EC-B94E2A711FB6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AF300E4-F0F6-4186-B18B-A5B74473E52C}" name="M_TABLE_43202" displayName="M_TABLE_43202" ref="B23:I43" totalsRowShown="0">
  <autoFilter ref="B23:I43" xr:uid="{EAF300E4-F0F6-4186-B18B-A5B74473E52C}"/>
  <tableColumns count="8">
    <tableColumn id="9" xr3:uid="{4CDFBBF1-E5F6-477B-9B56-C837C987016B}" name="産業中分類上位２０"/>
    <tableColumn id="10" xr3:uid="{6F5F2100-D96C-4B82-8AEC-A6FC9BA81710}" name="総数／事業所数" dataCellStyle="桁区切り"/>
    <tableColumn id="11" xr3:uid="{1C953E16-D9D3-4E31-88A8-F89982584BA4}" name="総数／構成比" dataDxfId="607"/>
    <tableColumn id="12" xr3:uid="{38BE8B8F-7499-423C-99FA-8EC60C28B0B8}" name="個人／事業所数" dataCellStyle="桁区切り"/>
    <tableColumn id="13" xr3:uid="{7C7FE81F-E847-4649-BBD8-72C30C79CB4C}" name="個人／構成比" dataDxfId="606"/>
    <tableColumn id="14" xr3:uid="{87A80518-6566-480E-AA40-A945C5830CA0}" name="法人／事業所数" dataCellStyle="桁区切り"/>
    <tableColumn id="15" xr3:uid="{E36EA4C1-5CA2-4F67-A253-0B4691F266C2}" name="法人／構成比" dataDxfId="605"/>
    <tableColumn id="16" xr3:uid="{0D37F1D5-FD7D-4521-A1A2-E5E1DC7912EE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3DA3D4B-AE8D-4A8B-B127-8A8C187AB282}" name="S_TABLE_43202" displayName="S_TABLE_43202" ref="B46:I66" totalsRowShown="0">
  <autoFilter ref="B46:I66" xr:uid="{93DA3D4B-AE8D-4A8B-B127-8A8C187AB282}"/>
  <tableColumns count="8">
    <tableColumn id="9" xr3:uid="{4310DE0E-F2AF-41F2-9DAB-FDF229823ECE}" name="産業小分類上位２０"/>
    <tableColumn id="10" xr3:uid="{6AF83D60-C613-4889-806A-CB3368DE2A90}" name="総数／事業所数" dataCellStyle="桁区切り"/>
    <tableColumn id="11" xr3:uid="{8C4F1357-17DC-453B-8B09-D6367C6526FF}" name="総数／構成比" dataDxfId="604"/>
    <tableColumn id="12" xr3:uid="{AFF3B3D0-AAD4-4AFE-B21C-EFCBDBF7BF23}" name="個人／事業所数" dataCellStyle="桁区切り"/>
    <tableColumn id="13" xr3:uid="{FEF48B50-636A-4E29-B0A3-EEA36D52318C}" name="個人／構成比" dataDxfId="603"/>
    <tableColumn id="14" xr3:uid="{B62EB69D-C47A-405B-B35E-1823A088F5F2}" name="法人／事業所数" dataCellStyle="桁区切り"/>
    <tableColumn id="15" xr3:uid="{1C4165C0-7643-4AFA-85E7-29CD0D40273E}" name="法人／構成比" dataDxfId="602"/>
    <tableColumn id="16" xr3:uid="{85F5F011-2679-4006-91E7-345D46894FE0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827ACA5-A4EF-4673-A477-65F595160406}" name="LTBL_43203" displayName="LTBL_43203" ref="B4:I20" totalsRowCount="1">
  <autoFilter ref="B4:I19" xr:uid="{9827ACA5-A4EF-4673-A477-65F595160406}"/>
  <tableColumns count="8">
    <tableColumn id="9" xr3:uid="{646C866C-7103-4694-9B83-7E17A798D8DE}" name="産業大分類" totalsRowLabel="合計" totalsRowDxfId="601"/>
    <tableColumn id="10" xr3:uid="{217D4AFA-9027-4D86-9611-8F83EFDD32AF}" name="総数／事業所数" totalsRowFunction="custom" totalsRowDxfId="600" dataCellStyle="桁区切り" totalsRowCellStyle="桁区切り">
      <totalsRowFormula>SUM(LTBL_43203[総数／事業所数])</totalsRowFormula>
    </tableColumn>
    <tableColumn id="11" xr3:uid="{C4CD1775-8818-4A2D-99E0-3DF8A9C2D7D1}" name="総数／構成比" dataDxfId="599"/>
    <tableColumn id="12" xr3:uid="{CBD3F2E9-BB8D-4737-81AD-BF450615F92E}" name="個人／事業所数" totalsRowFunction="sum" totalsRowDxfId="598" dataCellStyle="桁区切り" totalsRowCellStyle="桁区切り"/>
    <tableColumn id="13" xr3:uid="{D13C28F8-0041-4BCA-BB12-AC9AF40576BE}" name="個人／構成比" dataDxfId="597"/>
    <tableColumn id="14" xr3:uid="{F2E00937-D5C9-423D-B4FC-552CEFEB47E2}" name="法人／事業所数" totalsRowFunction="sum" totalsRowDxfId="596" dataCellStyle="桁区切り" totalsRowCellStyle="桁区切り"/>
    <tableColumn id="15" xr3:uid="{17CE0F4A-7BA3-416A-B8E4-9D766EC44583}" name="法人／構成比" dataDxfId="595"/>
    <tableColumn id="16" xr3:uid="{12B28E30-3A92-4054-845C-6641B57E37BB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71CD865-060A-4D91-9F4B-74A6ED759A28}" name="M_TABLE_43203" displayName="M_TABLE_43203" ref="B23:I43" totalsRowShown="0">
  <autoFilter ref="B23:I43" xr:uid="{B71CD865-060A-4D91-9F4B-74A6ED759A28}"/>
  <tableColumns count="8">
    <tableColumn id="9" xr3:uid="{140A668D-4DA0-4AA3-AD7B-B432D7F46FE5}" name="産業中分類上位２０"/>
    <tableColumn id="10" xr3:uid="{408AC0D3-63F0-40EE-BFB8-291F81991261}" name="総数／事業所数" dataCellStyle="桁区切り"/>
    <tableColumn id="11" xr3:uid="{A1C4011C-15BB-4201-A02D-B654AF657767}" name="総数／構成比" dataDxfId="593"/>
    <tableColumn id="12" xr3:uid="{74D12490-D3F6-4EC0-AB12-B385028BB098}" name="個人／事業所数" dataCellStyle="桁区切り"/>
    <tableColumn id="13" xr3:uid="{9A2032AA-10D3-40A4-B483-B1878407BD06}" name="個人／構成比" dataDxfId="592"/>
    <tableColumn id="14" xr3:uid="{8B8FEE2B-8DD7-4028-B4A2-0ED44BADE349}" name="法人／事業所数" dataCellStyle="桁区切り"/>
    <tableColumn id="15" xr3:uid="{CCBE0112-6D3F-43BA-B2D3-C86459BF43F1}" name="法人／構成比" dataDxfId="591"/>
    <tableColumn id="16" xr3:uid="{AC43F71D-BAF9-40C8-8927-95FF0C287A89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7A2A047-5EEB-4785-9E63-EC39631C54C1}" name="S_TABLE_43203" displayName="S_TABLE_43203" ref="B46:I68" totalsRowShown="0">
  <autoFilter ref="B46:I68" xr:uid="{27A2A047-5EEB-4785-9E63-EC39631C54C1}"/>
  <tableColumns count="8">
    <tableColumn id="9" xr3:uid="{9E50E99B-BEC9-43C0-AA57-418504BE4128}" name="産業小分類上位２０"/>
    <tableColumn id="10" xr3:uid="{40D52D58-CF54-433D-947C-0A067E147C06}" name="総数／事業所数" dataCellStyle="桁区切り"/>
    <tableColumn id="11" xr3:uid="{62C1BC42-527F-475A-A12A-1DD0E2DB78F9}" name="総数／構成比" dataDxfId="590"/>
    <tableColumn id="12" xr3:uid="{6D579CAC-3C26-49E4-B7A7-ED1DDAAAAC55}" name="個人／事業所数" dataCellStyle="桁区切り"/>
    <tableColumn id="13" xr3:uid="{7028FB2C-0814-41FC-B39D-8FEA757B6C15}" name="個人／構成比" dataDxfId="589"/>
    <tableColumn id="14" xr3:uid="{BB0731C3-65A8-40C8-A506-57F18FD27BF1}" name="法人／事業所数" dataCellStyle="桁区切り"/>
    <tableColumn id="15" xr3:uid="{5D66BDAD-A8BD-4BAE-A465-F3A295FD9A33}" name="法人／構成比" dataDxfId="588"/>
    <tableColumn id="16" xr3:uid="{772C2DDE-8D9C-4332-B32F-4BCB90A70A2E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5694E9F-B325-4FF1-8C42-745A31793338}" name="LTBL_43204" displayName="LTBL_43204" ref="B4:I20" totalsRowCount="1">
  <autoFilter ref="B4:I19" xr:uid="{55694E9F-B325-4FF1-8C42-745A31793338}"/>
  <tableColumns count="8">
    <tableColumn id="9" xr3:uid="{79B4A289-D058-4528-AF40-E119E6627AC6}" name="産業大分類" totalsRowLabel="合計" totalsRowDxfId="587"/>
    <tableColumn id="10" xr3:uid="{DDA19987-F8A9-47C3-83F6-9DB4B0072982}" name="総数／事業所数" totalsRowFunction="custom" totalsRowDxfId="586" dataCellStyle="桁区切り" totalsRowCellStyle="桁区切り">
      <totalsRowFormula>SUM(LTBL_43204[総数／事業所数])</totalsRowFormula>
    </tableColumn>
    <tableColumn id="11" xr3:uid="{E01250EC-8FB6-484F-AE1B-A62270687CD7}" name="総数／構成比" dataDxfId="585"/>
    <tableColumn id="12" xr3:uid="{E2B854D1-2C72-490C-B712-C748C5A89184}" name="個人／事業所数" totalsRowFunction="sum" totalsRowDxfId="584" dataCellStyle="桁区切り" totalsRowCellStyle="桁区切り"/>
    <tableColumn id="13" xr3:uid="{AC8334D3-89D7-46B8-BF96-642A027B06A6}" name="個人／構成比" dataDxfId="583"/>
    <tableColumn id="14" xr3:uid="{B4C0BA57-AD2B-4682-B147-D2761E0318E3}" name="法人／事業所数" totalsRowFunction="sum" totalsRowDxfId="582" dataCellStyle="桁区切り" totalsRowCellStyle="桁区切り"/>
    <tableColumn id="15" xr3:uid="{FA3DBFC2-1854-4A52-866F-E049D0A39086}" name="法人／構成比" dataDxfId="581"/>
    <tableColumn id="16" xr3:uid="{B2029893-005E-4AC4-A076-C1589745FA74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4531A4F-F413-43B2-9306-C5D3A760840A}" name="M_TABLE_43204" displayName="M_TABLE_43204" ref="B23:I43" totalsRowShown="0">
  <autoFilter ref="B23:I43" xr:uid="{04531A4F-F413-43B2-9306-C5D3A760840A}"/>
  <tableColumns count="8">
    <tableColumn id="9" xr3:uid="{23169BB4-4EBE-45A6-B8CB-01733E96125B}" name="産業中分類上位２０"/>
    <tableColumn id="10" xr3:uid="{B7E23295-F069-4041-BE74-9CAA1050DE59}" name="総数／事業所数" dataCellStyle="桁区切り"/>
    <tableColumn id="11" xr3:uid="{7BB0B71B-64CC-4A81-983F-E29A560C89A8}" name="総数／構成比" dataDxfId="579"/>
    <tableColumn id="12" xr3:uid="{BB476E6A-C878-4C43-A8F0-2B5F38C968BF}" name="個人／事業所数" dataCellStyle="桁区切り"/>
    <tableColumn id="13" xr3:uid="{A85200F1-2731-4C67-8B57-84E4B7AB5ADE}" name="個人／構成比" dataDxfId="578"/>
    <tableColumn id="14" xr3:uid="{847B68C3-5CFF-4ACB-B102-5C76184A3B00}" name="法人／事業所数" dataCellStyle="桁区切り"/>
    <tableColumn id="15" xr3:uid="{B67C8E67-CA72-4925-A996-5F2EE53EDAD5}" name="法人／構成比" dataDxfId="577"/>
    <tableColumn id="16" xr3:uid="{6A879C77-6428-4C71-BD00-D605C696AA17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8C0D79-B7A2-41F7-9749-4A504D2399B6}" name="S_TABLE_43000" displayName="S_TABLE_43000" ref="B46:I66" totalsRowShown="0">
  <autoFilter ref="B46:I66" xr:uid="{A88C0D79-B7A2-41F7-9749-4A504D2399B6}"/>
  <tableColumns count="8">
    <tableColumn id="9" xr3:uid="{225AB400-9EAE-4733-AD07-76E86AB8DC0B}" name="産業小分類上位２０"/>
    <tableColumn id="10" xr3:uid="{4CA7C8A6-9D66-4257-A6AB-0DF9A3C3BDF3}" name="総数／事業所数" dataCellStyle="桁区切り"/>
    <tableColumn id="11" xr3:uid="{BE84E5AB-C32B-46AD-B848-01465A98E5CB}" name="総数／構成比" dataDxfId="702"/>
    <tableColumn id="12" xr3:uid="{9D7459C7-7CA2-4AF4-9DBB-C2A6B93FDE65}" name="個人／事業所数" dataCellStyle="桁区切り"/>
    <tableColumn id="13" xr3:uid="{37489401-265F-40ED-847B-A3845E8EA494}" name="個人／構成比" dataDxfId="701"/>
    <tableColumn id="14" xr3:uid="{324BDE69-9D7A-4D6D-B620-3CEC602778B5}" name="法人／事業所数" dataCellStyle="桁区切り"/>
    <tableColumn id="15" xr3:uid="{B5CB5829-3CF4-49A6-930B-64A7BA031AE1}" name="法人／構成比" dataDxfId="700"/>
    <tableColumn id="16" xr3:uid="{B8391A68-D7CF-442D-8F97-AF73CBD2A254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AB0783D-500C-45F7-88D1-FC1E4894FD80}" name="S_TABLE_43204" displayName="S_TABLE_43204" ref="B46:I67" totalsRowShown="0">
  <autoFilter ref="B46:I67" xr:uid="{3AB0783D-500C-45F7-88D1-FC1E4894FD80}"/>
  <tableColumns count="8">
    <tableColumn id="9" xr3:uid="{ED1F5DF6-A9BB-4857-9CEE-9BDC1B6AD2E1}" name="産業小分類上位２０"/>
    <tableColumn id="10" xr3:uid="{2F2583DC-1043-42C4-84CC-A07C3E86A408}" name="総数／事業所数" dataCellStyle="桁区切り"/>
    <tableColumn id="11" xr3:uid="{8B71A0D4-2C53-4A94-B8BF-F8E7153A577A}" name="総数／構成比" dataDxfId="576"/>
    <tableColumn id="12" xr3:uid="{F8F274DF-9283-409C-B481-ACE8E959C95D}" name="個人／事業所数" dataCellStyle="桁区切り"/>
    <tableColumn id="13" xr3:uid="{0E51B196-5503-408E-9C44-CA2C8DD84B4B}" name="個人／構成比" dataDxfId="575"/>
    <tableColumn id="14" xr3:uid="{3B448736-04F7-4BB4-B024-CF95CAB2F703}" name="法人／事業所数" dataCellStyle="桁区切り"/>
    <tableColumn id="15" xr3:uid="{200A731C-C344-49CA-8C25-D8825AEB91E4}" name="法人／構成比" dataDxfId="574"/>
    <tableColumn id="16" xr3:uid="{E7B5DA44-A16A-41E8-9744-D2BF4755EC63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51A6DBF-F436-4A95-873B-0E0B2A92211D}" name="LTBL_43205" displayName="LTBL_43205" ref="B4:I20" totalsRowCount="1">
  <autoFilter ref="B4:I19" xr:uid="{A51A6DBF-F436-4A95-873B-0E0B2A92211D}"/>
  <tableColumns count="8">
    <tableColumn id="9" xr3:uid="{62E05D2B-102C-48B7-8AC4-F73AC930C772}" name="産業大分類" totalsRowLabel="合計" totalsRowDxfId="573"/>
    <tableColumn id="10" xr3:uid="{70935A49-2567-4FF8-8FA0-7710223E811B}" name="総数／事業所数" totalsRowFunction="custom" totalsRowDxfId="572" dataCellStyle="桁区切り" totalsRowCellStyle="桁区切り">
      <totalsRowFormula>SUM(LTBL_43205[総数／事業所数])</totalsRowFormula>
    </tableColumn>
    <tableColumn id="11" xr3:uid="{663ACCC1-53E7-44C9-AE71-1CD21E5B52FF}" name="総数／構成比" dataDxfId="571"/>
    <tableColumn id="12" xr3:uid="{42D98E6F-4551-458E-B4E2-34CC52F2115B}" name="個人／事業所数" totalsRowFunction="sum" totalsRowDxfId="570" dataCellStyle="桁区切り" totalsRowCellStyle="桁区切り"/>
    <tableColumn id="13" xr3:uid="{F80EB1E1-9284-477F-8431-3347A67A1854}" name="個人／構成比" dataDxfId="569"/>
    <tableColumn id="14" xr3:uid="{5D73897E-8A13-40B6-AD6C-8987F7AA0A35}" name="法人／事業所数" totalsRowFunction="sum" totalsRowDxfId="568" dataCellStyle="桁区切り" totalsRowCellStyle="桁区切り"/>
    <tableColumn id="15" xr3:uid="{E07397ED-B046-4A62-9635-05B5EB1537ED}" name="法人／構成比" dataDxfId="567"/>
    <tableColumn id="16" xr3:uid="{B317B6F3-327D-4154-87EE-1D473E101490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CBF732B-95E4-40FE-BE6A-4A546B70ED5C}" name="M_TABLE_43205" displayName="M_TABLE_43205" ref="B23:I43" totalsRowShown="0">
  <autoFilter ref="B23:I43" xr:uid="{0CBF732B-95E4-40FE-BE6A-4A546B70ED5C}"/>
  <tableColumns count="8">
    <tableColumn id="9" xr3:uid="{D6424FFD-314C-4EBE-AF76-1B839A1EA567}" name="産業中分類上位２０"/>
    <tableColumn id="10" xr3:uid="{773E23FC-A904-4375-A10C-A69B29BF9C9F}" name="総数／事業所数" dataCellStyle="桁区切り"/>
    <tableColumn id="11" xr3:uid="{7787E0DE-6765-4C56-ADA1-DF66837D70FC}" name="総数／構成比" dataDxfId="565"/>
    <tableColumn id="12" xr3:uid="{B53D6ED1-F274-4DD8-9215-1D4B8F97E8E8}" name="個人／事業所数" dataCellStyle="桁区切り"/>
    <tableColumn id="13" xr3:uid="{88E6A58A-1D93-4567-9B82-373009F855A2}" name="個人／構成比" dataDxfId="564"/>
    <tableColumn id="14" xr3:uid="{61B23574-347C-4FE0-A8EC-0D55CBAF0326}" name="法人／事業所数" dataCellStyle="桁区切り"/>
    <tableColumn id="15" xr3:uid="{FFCA71AC-314B-4A63-8DF7-0580EB5D1B0D}" name="法人／構成比" dataDxfId="563"/>
    <tableColumn id="16" xr3:uid="{7D20B715-4C8B-44CC-9DA4-F827A8300849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0138BF6-2C7E-46AA-9256-E2DFAB93B67F}" name="S_TABLE_43205" displayName="S_TABLE_43205" ref="B46:I69" totalsRowShown="0">
  <autoFilter ref="B46:I69" xr:uid="{A0138BF6-2C7E-46AA-9256-E2DFAB93B67F}"/>
  <tableColumns count="8">
    <tableColumn id="9" xr3:uid="{0A34108F-3140-48A8-9089-5A4B937D15B5}" name="産業小分類上位２０"/>
    <tableColumn id="10" xr3:uid="{F8CBF23C-96F2-48F3-9614-53F58080EA0A}" name="総数／事業所数" dataCellStyle="桁区切り"/>
    <tableColumn id="11" xr3:uid="{9EE0114C-4662-4407-A20E-70E241E075BC}" name="総数／構成比" dataDxfId="562"/>
    <tableColumn id="12" xr3:uid="{74886399-C235-4EC7-ABF1-1311C34987B5}" name="個人／事業所数" dataCellStyle="桁区切り"/>
    <tableColumn id="13" xr3:uid="{87ECB5FD-D532-468B-B69E-12F6CD79AF8C}" name="個人／構成比" dataDxfId="561"/>
    <tableColumn id="14" xr3:uid="{2C59C804-22BF-47CC-8659-3F3B2477B06F}" name="法人／事業所数" dataCellStyle="桁区切り"/>
    <tableColumn id="15" xr3:uid="{3406C11B-BBC9-4538-9477-9319167A8FDF}" name="法人／構成比" dataDxfId="560"/>
    <tableColumn id="16" xr3:uid="{3159F088-569F-4F0A-BC55-5EA0013466BA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CC54FDC-051B-4283-B037-668FF3BAEBAF}" name="LTBL_43206" displayName="LTBL_43206" ref="B4:I20" totalsRowCount="1">
  <autoFilter ref="B4:I19" xr:uid="{BCC54FDC-051B-4283-B037-668FF3BAEBAF}"/>
  <tableColumns count="8">
    <tableColumn id="9" xr3:uid="{B7648990-2EC1-49B7-95DB-297F633002FA}" name="産業大分類" totalsRowLabel="合計" totalsRowDxfId="559"/>
    <tableColumn id="10" xr3:uid="{E9E83008-6557-4997-8FD1-3665FB31BF85}" name="総数／事業所数" totalsRowFunction="custom" totalsRowDxfId="558" dataCellStyle="桁区切り" totalsRowCellStyle="桁区切り">
      <totalsRowFormula>SUM(LTBL_43206[総数／事業所数])</totalsRowFormula>
    </tableColumn>
    <tableColumn id="11" xr3:uid="{542CB9DC-46DF-499A-95F8-160B86603165}" name="総数／構成比" dataDxfId="557"/>
    <tableColumn id="12" xr3:uid="{921B3ED4-8954-4928-9B7A-3A74F4706BFE}" name="個人／事業所数" totalsRowFunction="sum" totalsRowDxfId="556" dataCellStyle="桁区切り" totalsRowCellStyle="桁区切り"/>
    <tableColumn id="13" xr3:uid="{F47B06E8-CA38-4B58-B8A2-5D72EF04C49E}" name="個人／構成比" dataDxfId="555"/>
    <tableColumn id="14" xr3:uid="{698B8BBA-C26B-4397-AD45-5794DFC6030C}" name="法人／事業所数" totalsRowFunction="sum" totalsRowDxfId="554" dataCellStyle="桁区切り" totalsRowCellStyle="桁区切り"/>
    <tableColumn id="15" xr3:uid="{111FD07C-523C-4299-B568-04155ED34348}" name="法人／構成比" dataDxfId="553"/>
    <tableColumn id="16" xr3:uid="{5A36F6F5-03F9-45CC-86E0-4B727945651F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9B4E0B1-E37F-4706-B4C7-2D655946C1E1}" name="M_TABLE_43206" displayName="M_TABLE_43206" ref="B23:I44" totalsRowShown="0">
  <autoFilter ref="B23:I44" xr:uid="{89B4E0B1-E37F-4706-B4C7-2D655946C1E1}"/>
  <tableColumns count="8">
    <tableColumn id="9" xr3:uid="{9E0C6CFB-5618-4187-80C6-AB80EA7F62A8}" name="産業中分類上位２０"/>
    <tableColumn id="10" xr3:uid="{BEEEF2B1-C5AF-4189-A59D-53E1BB9E4762}" name="総数／事業所数" dataCellStyle="桁区切り"/>
    <tableColumn id="11" xr3:uid="{0812291E-2C53-4333-9AD3-9AFB7EEBFF14}" name="総数／構成比" dataDxfId="551"/>
    <tableColumn id="12" xr3:uid="{6DF23055-CD3B-4420-83E7-BE0D8E263D2C}" name="個人／事業所数" dataCellStyle="桁区切り"/>
    <tableColumn id="13" xr3:uid="{CEEDD7D4-0472-459F-8CBF-630122AB6B26}" name="個人／構成比" dataDxfId="550"/>
    <tableColumn id="14" xr3:uid="{0BE4FAFE-4A4D-4B8F-B636-7D709F7E7650}" name="法人／事業所数" dataCellStyle="桁区切り"/>
    <tableColumn id="15" xr3:uid="{D0405374-4662-41CF-B966-A4C343925648}" name="法人／構成比" dataDxfId="549"/>
    <tableColumn id="16" xr3:uid="{6479D96F-69C5-4BC1-B6DA-269267CB01EB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B3D81C7-B867-41CE-AA8A-CEA37D9491BD}" name="S_TABLE_43206" displayName="S_TABLE_43206" ref="B47:I68" totalsRowShown="0">
  <autoFilter ref="B47:I68" xr:uid="{4B3D81C7-B867-41CE-AA8A-CEA37D9491BD}"/>
  <tableColumns count="8">
    <tableColumn id="9" xr3:uid="{488AF66D-CA20-474D-8071-DA4CA05CE299}" name="産業小分類上位２０"/>
    <tableColumn id="10" xr3:uid="{15B1225B-EFAA-463D-83B7-4D58AAF20CCC}" name="総数／事業所数" dataCellStyle="桁区切り"/>
    <tableColumn id="11" xr3:uid="{C722662A-759E-469C-A2A6-D212C94D6841}" name="総数／構成比" dataDxfId="548"/>
    <tableColumn id="12" xr3:uid="{37BBCE4D-72E4-4D88-88FF-CB7AFC651A68}" name="個人／事業所数" dataCellStyle="桁区切り"/>
    <tableColumn id="13" xr3:uid="{651D8F38-C683-4A60-A1BA-4AA825A59943}" name="個人／構成比" dataDxfId="547"/>
    <tableColumn id="14" xr3:uid="{4F050ACE-82D0-442F-A52D-C2D9873113E9}" name="法人／事業所数" dataCellStyle="桁区切り"/>
    <tableColumn id="15" xr3:uid="{40BC3F81-0932-43B4-802F-1EC47A6F6E73}" name="法人／構成比" dataDxfId="546"/>
    <tableColumn id="16" xr3:uid="{74CB57C9-EF66-42B4-A2D2-5CD8D24F0761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76CE3D8-DB11-42CB-9E63-A7769DA5FFD5}" name="LTBL_43208" displayName="LTBL_43208" ref="B4:I20" totalsRowCount="1">
  <autoFilter ref="B4:I19" xr:uid="{776CE3D8-DB11-42CB-9E63-A7769DA5FFD5}"/>
  <tableColumns count="8">
    <tableColumn id="9" xr3:uid="{F91DD2C6-3A9E-4C0E-93E1-0B7516656A4B}" name="産業大分類" totalsRowLabel="合計" totalsRowDxfId="545"/>
    <tableColumn id="10" xr3:uid="{91819C1D-B219-4BF6-AB45-8FE1191ABE34}" name="総数／事業所数" totalsRowFunction="custom" totalsRowDxfId="544" dataCellStyle="桁区切り" totalsRowCellStyle="桁区切り">
      <totalsRowFormula>SUM(LTBL_43208[総数／事業所数])</totalsRowFormula>
    </tableColumn>
    <tableColumn id="11" xr3:uid="{94A08B2B-8BF7-4755-B07C-C1F33F57DF73}" name="総数／構成比" dataDxfId="543"/>
    <tableColumn id="12" xr3:uid="{E779A31D-4B0E-43D6-9A08-B1896CCA35AF}" name="個人／事業所数" totalsRowFunction="sum" totalsRowDxfId="542" dataCellStyle="桁区切り" totalsRowCellStyle="桁区切り"/>
    <tableColumn id="13" xr3:uid="{6EB99B4A-16A9-42F8-8816-F87096D93144}" name="個人／構成比" dataDxfId="541"/>
    <tableColumn id="14" xr3:uid="{236951ED-62BF-4FC1-A3E7-92A3C74EF21F}" name="法人／事業所数" totalsRowFunction="sum" totalsRowDxfId="540" dataCellStyle="桁区切り" totalsRowCellStyle="桁区切り"/>
    <tableColumn id="15" xr3:uid="{F0FE7D71-0865-48E8-B224-1CDDF968B61E}" name="法人／構成比" dataDxfId="539"/>
    <tableColumn id="16" xr3:uid="{8E2C6C5E-B71D-49DC-911E-1376C6746BAA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40B04CF-B53D-4217-9CE4-8D3511109D6B}" name="M_TABLE_43208" displayName="M_TABLE_43208" ref="B23:I43" totalsRowShown="0">
  <autoFilter ref="B23:I43" xr:uid="{540B04CF-B53D-4217-9CE4-8D3511109D6B}"/>
  <tableColumns count="8">
    <tableColumn id="9" xr3:uid="{7FAA804E-8A41-405C-A325-F726F525E6A6}" name="産業中分類上位２０"/>
    <tableColumn id="10" xr3:uid="{6F0F8A45-090E-44EF-8591-EB5C98C715FB}" name="総数／事業所数" dataCellStyle="桁区切り"/>
    <tableColumn id="11" xr3:uid="{40E8069A-CBF3-4BCD-A12A-0A91836468E7}" name="総数／構成比" dataDxfId="537"/>
    <tableColumn id="12" xr3:uid="{4B6E7005-EECD-48C1-9872-7A7CAC731538}" name="個人／事業所数" dataCellStyle="桁区切り"/>
    <tableColumn id="13" xr3:uid="{57791ABD-7DC0-4CC9-8FAD-5DA46EF78F58}" name="個人／構成比" dataDxfId="536"/>
    <tableColumn id="14" xr3:uid="{1A86112F-BC71-475C-8340-D43A4E94B4E2}" name="法人／事業所数" dataCellStyle="桁区切り"/>
    <tableColumn id="15" xr3:uid="{E6B7FDD0-72A0-4C8D-A70B-BF3B63E0183B}" name="法人／構成比" dataDxfId="535"/>
    <tableColumn id="16" xr3:uid="{C2FAD784-D51B-4443-8DC0-8119B9A72BC3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814EF5C-F051-4CAC-9F05-C4568E4B9DEC}" name="S_TABLE_43208" displayName="S_TABLE_43208" ref="B46:I67" totalsRowShown="0">
  <autoFilter ref="B46:I67" xr:uid="{F814EF5C-F051-4CAC-9F05-C4568E4B9DEC}"/>
  <tableColumns count="8">
    <tableColumn id="9" xr3:uid="{9611C61D-3A0B-4B79-BDF5-2673874D1CC5}" name="産業小分類上位２０"/>
    <tableColumn id="10" xr3:uid="{DAE6BD5F-52FA-48BB-B328-E03BD9FA89BD}" name="総数／事業所数" dataCellStyle="桁区切り"/>
    <tableColumn id="11" xr3:uid="{49693EA9-1F35-4A51-8781-048F388BF199}" name="総数／構成比" dataDxfId="534"/>
    <tableColumn id="12" xr3:uid="{2286DF85-BE0C-4B00-A92C-882D5EB85625}" name="個人／事業所数" dataCellStyle="桁区切り"/>
    <tableColumn id="13" xr3:uid="{541BFC9C-7F6E-436E-91BA-87BB6D553977}" name="個人／構成比" dataDxfId="533"/>
    <tableColumn id="14" xr3:uid="{25D7D189-DF67-4CBB-BD90-6B863D946CBF}" name="法人／事業所数" dataCellStyle="桁区切り"/>
    <tableColumn id="15" xr3:uid="{EC29ECED-E4DE-4005-A1F7-1F8E12C81B80}" name="法人／構成比" dataDxfId="532"/>
    <tableColumn id="16" xr3:uid="{BDDA07BB-2E2A-47C2-A349-B382315B485B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7FAC32-D182-4F51-A6D0-C4F62AF58EDA}" name="LTBL_43100" displayName="LTBL_43100" ref="B4:I20" totalsRowCount="1">
  <autoFilter ref="B4:I19" xr:uid="{A07FAC32-D182-4F51-A6D0-C4F62AF58EDA}"/>
  <tableColumns count="8">
    <tableColumn id="9" xr3:uid="{1F5155F4-3C06-4E44-8040-76F0582DCC27}" name="産業大分類" totalsRowLabel="合計" totalsRowDxfId="699"/>
    <tableColumn id="10" xr3:uid="{485886C7-8DF5-46B0-BC9B-BF4465CCE01C}" name="総数／事業所数" totalsRowFunction="custom" totalsRowDxfId="698" dataCellStyle="桁区切り" totalsRowCellStyle="桁区切り">
      <totalsRowFormula>SUM(LTBL_43100[総数／事業所数])</totalsRowFormula>
    </tableColumn>
    <tableColumn id="11" xr3:uid="{85A1CBBB-1F6A-47AF-8DC1-AA43CB9A14A1}" name="総数／構成比" dataDxfId="697"/>
    <tableColumn id="12" xr3:uid="{5BDCE289-BB44-4491-B4DE-A92878B2E31F}" name="個人／事業所数" totalsRowFunction="sum" totalsRowDxfId="696" dataCellStyle="桁区切り" totalsRowCellStyle="桁区切り"/>
    <tableColumn id="13" xr3:uid="{3589CAC3-67DA-475A-BBB8-F73525FF4863}" name="個人／構成比" dataDxfId="695"/>
    <tableColumn id="14" xr3:uid="{A87E8135-7F77-4C38-8578-181428994173}" name="法人／事業所数" totalsRowFunction="sum" totalsRowDxfId="694" dataCellStyle="桁区切り" totalsRowCellStyle="桁区切り"/>
    <tableColumn id="15" xr3:uid="{0F32526E-4C99-4299-867B-BAB527C6A7ED}" name="法人／構成比" dataDxfId="693"/>
    <tableColumn id="16" xr3:uid="{270B8C9E-315C-43F8-8E3F-CF9CF1E7A634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F6E6B2D-C517-410D-B8FA-3BC86009ECF9}" name="LTBL_43210" displayName="LTBL_43210" ref="B4:I20" totalsRowCount="1">
  <autoFilter ref="B4:I19" xr:uid="{FF6E6B2D-C517-410D-B8FA-3BC86009ECF9}"/>
  <tableColumns count="8">
    <tableColumn id="9" xr3:uid="{ED757315-F992-439E-ACD5-B375F2A55D99}" name="産業大分類" totalsRowLabel="合計" totalsRowDxfId="531"/>
    <tableColumn id="10" xr3:uid="{987BF176-F2A6-46B0-9111-ABDA1A213E42}" name="総数／事業所数" totalsRowFunction="custom" totalsRowDxfId="530" dataCellStyle="桁区切り" totalsRowCellStyle="桁区切り">
      <totalsRowFormula>SUM(LTBL_43210[総数／事業所数])</totalsRowFormula>
    </tableColumn>
    <tableColumn id="11" xr3:uid="{745E2495-87BD-4E6A-A59D-CA59BBFDF292}" name="総数／構成比" dataDxfId="529"/>
    <tableColumn id="12" xr3:uid="{89A9A460-1578-4A06-8126-CA89051C8B0C}" name="個人／事業所数" totalsRowFunction="sum" totalsRowDxfId="528" dataCellStyle="桁区切り" totalsRowCellStyle="桁区切り"/>
    <tableColumn id="13" xr3:uid="{11658E84-F563-4AA5-9C1B-21966C349A90}" name="個人／構成比" dataDxfId="527"/>
    <tableColumn id="14" xr3:uid="{AF0D4B37-EC9E-4411-8546-FEADB9B3E2D9}" name="法人／事業所数" totalsRowFunction="sum" totalsRowDxfId="526" dataCellStyle="桁区切り" totalsRowCellStyle="桁区切り"/>
    <tableColumn id="15" xr3:uid="{8442D0F6-3F22-4A39-B290-A60A5A1D3E72}" name="法人／構成比" dataDxfId="525"/>
    <tableColumn id="16" xr3:uid="{E62B878F-B5EA-4BDA-9ED1-F3C906C66728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10CEA1D-20F4-423F-BEFF-2D1EF4E92401}" name="M_TABLE_43210" displayName="M_TABLE_43210" ref="B23:I43" totalsRowShown="0">
  <autoFilter ref="B23:I43" xr:uid="{B10CEA1D-20F4-423F-BEFF-2D1EF4E92401}"/>
  <tableColumns count="8">
    <tableColumn id="9" xr3:uid="{91055033-8D9D-4C2B-9688-934D660277B0}" name="産業中分類上位２０"/>
    <tableColumn id="10" xr3:uid="{9A01BDFD-A1F5-4184-B769-B42C419E1A42}" name="総数／事業所数" dataCellStyle="桁区切り"/>
    <tableColumn id="11" xr3:uid="{C61C4281-2E9E-4221-9EA2-F64EB63B9DD9}" name="総数／構成比" dataDxfId="523"/>
    <tableColumn id="12" xr3:uid="{65650DF8-C33E-486E-874E-FB5DD9CC5BD6}" name="個人／事業所数" dataCellStyle="桁区切り"/>
    <tableColumn id="13" xr3:uid="{62554FD1-B7AB-4409-A852-C4DE7658AFD4}" name="個人／構成比" dataDxfId="522"/>
    <tableColumn id="14" xr3:uid="{21C2C2A9-409C-4E63-A6F9-BE6B9FD4649A}" name="法人／事業所数" dataCellStyle="桁区切り"/>
    <tableColumn id="15" xr3:uid="{A5729428-F8B8-4D3F-A0BB-3504EA5D00FE}" name="法人／構成比" dataDxfId="521"/>
    <tableColumn id="16" xr3:uid="{FF104644-AF8B-4D67-BF39-04D777550C05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E1C81D4-79E2-421F-9548-0EAFAD517C82}" name="S_TABLE_43210" displayName="S_TABLE_43210" ref="B46:I68" totalsRowShown="0">
  <autoFilter ref="B46:I68" xr:uid="{5E1C81D4-79E2-421F-9548-0EAFAD517C82}"/>
  <tableColumns count="8">
    <tableColumn id="9" xr3:uid="{9A4C5B22-66CB-4DCC-9D41-44D0EC1B1E87}" name="産業小分類上位２０"/>
    <tableColumn id="10" xr3:uid="{F604593E-8857-48D0-A106-EEE4421A0309}" name="総数／事業所数" dataCellStyle="桁区切り"/>
    <tableColumn id="11" xr3:uid="{12A8269E-EEE2-431E-A290-1F3C96010EF2}" name="総数／構成比" dataDxfId="520"/>
    <tableColumn id="12" xr3:uid="{D353D58A-4C64-45FB-958A-A6A7A9362523}" name="個人／事業所数" dataCellStyle="桁区切り"/>
    <tableColumn id="13" xr3:uid="{01B82550-988E-4BB2-9EC5-663A22F9280C}" name="個人／構成比" dataDxfId="519"/>
    <tableColumn id="14" xr3:uid="{09B02C57-4E34-4BC7-AEF9-DC64A66E2C2C}" name="法人／事業所数" dataCellStyle="桁区切り"/>
    <tableColumn id="15" xr3:uid="{F6E7EA4F-AC40-4281-9D22-608B01904C8D}" name="法人／構成比" dataDxfId="518"/>
    <tableColumn id="16" xr3:uid="{9494DEB9-30C1-4B69-8E3F-46CA81E0F29F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B706484-0C13-41B1-A685-88699DAC59FB}" name="LTBL_43211" displayName="LTBL_43211" ref="B4:I20" totalsRowCount="1">
  <autoFilter ref="B4:I19" xr:uid="{8B706484-0C13-41B1-A685-88699DAC59FB}"/>
  <tableColumns count="8">
    <tableColumn id="9" xr3:uid="{602E3A7D-4F7A-4FF6-9CFC-65987751264B}" name="産業大分類" totalsRowLabel="合計" totalsRowDxfId="517"/>
    <tableColumn id="10" xr3:uid="{7C0D1E40-D2E7-44AA-A826-B5AD53BC8256}" name="総数／事業所数" totalsRowFunction="custom" totalsRowDxfId="516" dataCellStyle="桁区切り" totalsRowCellStyle="桁区切り">
      <totalsRowFormula>SUM(LTBL_43211[総数／事業所数])</totalsRowFormula>
    </tableColumn>
    <tableColumn id="11" xr3:uid="{602F000D-E0A3-48BB-AB51-84C7269BC5F6}" name="総数／構成比" dataDxfId="515"/>
    <tableColumn id="12" xr3:uid="{185A9CF0-2DD2-4CB0-BBF3-BBB7F4A81238}" name="個人／事業所数" totalsRowFunction="sum" totalsRowDxfId="514" dataCellStyle="桁区切り" totalsRowCellStyle="桁区切り"/>
    <tableColumn id="13" xr3:uid="{9FF6F9A6-7E51-47FF-A66D-D3CF2914CDEB}" name="個人／構成比" dataDxfId="513"/>
    <tableColumn id="14" xr3:uid="{00DAB3C0-0131-4489-96DC-B68328ADD1BA}" name="法人／事業所数" totalsRowFunction="sum" totalsRowDxfId="512" dataCellStyle="桁区切り" totalsRowCellStyle="桁区切り"/>
    <tableColumn id="15" xr3:uid="{AF56BCE2-7BCA-4943-8BCE-D87DA553EEFF}" name="法人／構成比" dataDxfId="511"/>
    <tableColumn id="16" xr3:uid="{121BE46B-7054-494C-91B1-17DC191D6D89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4D5147F-58B7-4549-BF16-6125AF530439}" name="M_TABLE_43211" displayName="M_TABLE_43211" ref="B23:I43" totalsRowShown="0">
  <autoFilter ref="B23:I43" xr:uid="{14D5147F-58B7-4549-BF16-6125AF530439}"/>
  <tableColumns count="8">
    <tableColumn id="9" xr3:uid="{A42AE5A9-8277-42BD-A00C-EA177D88F8B3}" name="産業中分類上位２０"/>
    <tableColumn id="10" xr3:uid="{7175DDFD-649C-4F79-AB87-C2E1D3055EA0}" name="総数／事業所数" dataCellStyle="桁区切り"/>
    <tableColumn id="11" xr3:uid="{6245143C-21FA-4F6C-B6B5-76A91F5C1740}" name="総数／構成比" dataDxfId="509"/>
    <tableColumn id="12" xr3:uid="{3DDFEF30-688B-4B9F-B25D-D9154692DF6F}" name="個人／事業所数" dataCellStyle="桁区切り"/>
    <tableColumn id="13" xr3:uid="{69BEEF8D-7462-4093-A235-E60EED9DF0FC}" name="個人／構成比" dataDxfId="508"/>
    <tableColumn id="14" xr3:uid="{B93E6E79-DE1D-4851-A23E-633568D172BB}" name="法人／事業所数" dataCellStyle="桁区切り"/>
    <tableColumn id="15" xr3:uid="{52B7010A-0125-4E7C-85CB-16AE20D35118}" name="法人／構成比" dataDxfId="507"/>
    <tableColumn id="16" xr3:uid="{324D2A3C-D690-4C05-B6FB-D9E732D14C05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DD44F40-BC84-4B46-89CD-7788AA977A76}" name="S_TABLE_43211" displayName="S_TABLE_43211" ref="B46:I66" totalsRowShown="0">
  <autoFilter ref="B46:I66" xr:uid="{7DD44F40-BC84-4B46-89CD-7788AA977A76}"/>
  <tableColumns count="8">
    <tableColumn id="9" xr3:uid="{ACDDD2D2-5C9E-4333-A121-062A7A9AD567}" name="産業小分類上位２０"/>
    <tableColumn id="10" xr3:uid="{14DB6887-3D6E-414D-85A9-13E0390DD950}" name="総数／事業所数" dataCellStyle="桁区切り"/>
    <tableColumn id="11" xr3:uid="{9F620815-644C-4E5B-9890-9FD9CA24B328}" name="総数／構成比" dataDxfId="506"/>
    <tableColumn id="12" xr3:uid="{1F44FC3E-D089-4C54-A840-26999AF1AFA4}" name="個人／事業所数" dataCellStyle="桁区切り"/>
    <tableColumn id="13" xr3:uid="{7E1D7B37-85E5-4193-81D2-E276AB323274}" name="個人／構成比" dataDxfId="505"/>
    <tableColumn id="14" xr3:uid="{BA5A9359-92BF-4549-8A35-2B73C6EA379B}" name="法人／事業所数" dataCellStyle="桁区切り"/>
    <tableColumn id="15" xr3:uid="{4A6B0B76-4A21-4250-A85D-D6806EEF5309}" name="法人／構成比" dataDxfId="504"/>
    <tableColumn id="16" xr3:uid="{4B1242C1-48BF-4BF3-AEFC-F77407D86FD4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C2014B3-8C01-4B82-A698-DF9BCCC531CF}" name="LTBL_43212" displayName="LTBL_43212" ref="B4:I20" totalsRowCount="1">
  <autoFilter ref="B4:I19" xr:uid="{3C2014B3-8C01-4B82-A698-DF9BCCC531CF}"/>
  <tableColumns count="8">
    <tableColumn id="9" xr3:uid="{098D0070-7151-4E49-AFAC-CF2F7B72D702}" name="産業大分類" totalsRowLabel="合計" totalsRowDxfId="503"/>
    <tableColumn id="10" xr3:uid="{746E59A8-4FA2-4788-B3E2-B49678994953}" name="総数／事業所数" totalsRowFunction="custom" totalsRowDxfId="502" dataCellStyle="桁区切り" totalsRowCellStyle="桁区切り">
      <totalsRowFormula>SUM(LTBL_43212[総数／事業所数])</totalsRowFormula>
    </tableColumn>
    <tableColumn id="11" xr3:uid="{9A0B64D9-6A42-496F-9BCE-A67EA82529DF}" name="総数／構成比" dataDxfId="501"/>
    <tableColumn id="12" xr3:uid="{971C4576-CF9D-436A-A686-EA54EBACF3F6}" name="個人／事業所数" totalsRowFunction="sum" totalsRowDxfId="500" dataCellStyle="桁区切り" totalsRowCellStyle="桁区切り"/>
    <tableColumn id="13" xr3:uid="{0A97F81E-CD46-470B-8A7A-C3AF52E34F64}" name="個人／構成比" dataDxfId="499"/>
    <tableColumn id="14" xr3:uid="{F936A3AB-FFE2-4ECF-99DF-D0D449E174F0}" name="法人／事業所数" totalsRowFunction="sum" totalsRowDxfId="498" dataCellStyle="桁区切り" totalsRowCellStyle="桁区切り"/>
    <tableColumn id="15" xr3:uid="{05B9AD03-6769-429B-9107-496A78288773}" name="法人／構成比" dataDxfId="497"/>
    <tableColumn id="16" xr3:uid="{CAD3DD54-DAED-494F-87C5-70A8A22A011C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15B3FB9-8612-4423-8136-815941A4DA44}" name="M_TABLE_43212" displayName="M_TABLE_43212" ref="B23:I46" totalsRowShown="0">
  <autoFilter ref="B23:I46" xr:uid="{215B3FB9-8612-4423-8136-815941A4DA44}"/>
  <tableColumns count="8">
    <tableColumn id="9" xr3:uid="{3024D101-B056-4DFC-B271-2BF6F79826C3}" name="産業中分類上位２０"/>
    <tableColumn id="10" xr3:uid="{7E5E1BBA-DC42-4CDB-A6CC-F4FC60DBA37D}" name="総数／事業所数" dataCellStyle="桁区切り"/>
    <tableColumn id="11" xr3:uid="{00FAB053-1D63-49E7-8DC7-2585782F2001}" name="総数／構成比" dataDxfId="495"/>
    <tableColumn id="12" xr3:uid="{4E9170B3-D63C-4F6D-B263-C9EE82EDE7D6}" name="個人／事業所数" dataCellStyle="桁区切り"/>
    <tableColumn id="13" xr3:uid="{69157793-3850-4891-AF60-377625D64DA7}" name="個人／構成比" dataDxfId="494"/>
    <tableColumn id="14" xr3:uid="{500008F3-CA8E-4DC7-8B46-FDA6D97D21EF}" name="法人／事業所数" dataCellStyle="桁区切り"/>
    <tableColumn id="15" xr3:uid="{1733BDE3-F6EA-4EEE-B41B-C08238664A63}" name="法人／構成比" dataDxfId="493"/>
    <tableColumn id="16" xr3:uid="{29073927-764D-4694-A2A3-2E398B10D7F8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804FC5B-7921-4563-A9DC-F75C44A32C0B}" name="S_TABLE_43212" displayName="S_TABLE_43212" ref="B49:I71" totalsRowShown="0">
  <autoFilter ref="B49:I71" xr:uid="{3804FC5B-7921-4563-A9DC-F75C44A32C0B}"/>
  <tableColumns count="8">
    <tableColumn id="9" xr3:uid="{97BD2584-648A-44D4-9574-D36A5DD5E21F}" name="産業小分類上位２０"/>
    <tableColumn id="10" xr3:uid="{F4BD13C1-0A29-47C5-8ED6-E7FD1C137E6F}" name="総数／事業所数" dataCellStyle="桁区切り"/>
    <tableColumn id="11" xr3:uid="{267ADA2C-A76A-40BE-AAE4-68A176B2159E}" name="総数／構成比" dataDxfId="492"/>
    <tableColumn id="12" xr3:uid="{03E1DE95-95A0-4067-8D3C-E6221A8C9D6A}" name="個人／事業所数" dataCellStyle="桁区切り"/>
    <tableColumn id="13" xr3:uid="{AFCE10D6-E9C6-434B-B962-BA732F26EF35}" name="個人／構成比" dataDxfId="491"/>
    <tableColumn id="14" xr3:uid="{EC356358-0EEE-4673-9E4E-543C4D9453F2}" name="法人／事業所数" dataCellStyle="桁区切り"/>
    <tableColumn id="15" xr3:uid="{4160A494-92E4-4696-A574-196CD524ADF6}" name="法人／構成比" dataDxfId="490"/>
    <tableColumn id="16" xr3:uid="{7C67E76B-C5D9-4E77-89D2-6DB67A80E7B9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E36A9B0-40E1-4D68-9C3B-35D0A9D571A5}" name="LTBL_43213" displayName="LTBL_43213" ref="B4:I20" totalsRowCount="1">
  <autoFilter ref="B4:I19" xr:uid="{6E36A9B0-40E1-4D68-9C3B-35D0A9D571A5}"/>
  <tableColumns count="8">
    <tableColumn id="9" xr3:uid="{9D0D649A-57A9-4995-B527-FC13B0176DB9}" name="産業大分類" totalsRowLabel="合計" totalsRowDxfId="489"/>
    <tableColumn id="10" xr3:uid="{8268FF6A-E263-4BC5-B36C-EA17DB6BDC72}" name="総数／事業所数" totalsRowFunction="custom" totalsRowDxfId="488" dataCellStyle="桁区切り" totalsRowCellStyle="桁区切り">
      <totalsRowFormula>SUM(LTBL_43213[総数／事業所数])</totalsRowFormula>
    </tableColumn>
    <tableColumn id="11" xr3:uid="{ED2661EA-7AAD-4040-9E33-8D80F03F8591}" name="総数／構成比" dataDxfId="487"/>
    <tableColumn id="12" xr3:uid="{DE528FFF-53F0-43E3-89C9-DC71FEB75784}" name="個人／事業所数" totalsRowFunction="sum" totalsRowDxfId="486" dataCellStyle="桁区切り" totalsRowCellStyle="桁区切り"/>
    <tableColumn id="13" xr3:uid="{4593D674-0A6B-4B11-9ECA-01D5F2C97ACF}" name="個人／構成比" dataDxfId="485"/>
    <tableColumn id="14" xr3:uid="{D0C870CA-4A2A-4E71-9C2F-E54E17D1CD09}" name="法人／事業所数" totalsRowFunction="sum" totalsRowDxfId="484" dataCellStyle="桁区切り" totalsRowCellStyle="桁区切り"/>
    <tableColumn id="15" xr3:uid="{9006A5D9-81B7-4D2E-96D2-CB2987E32095}" name="法人／構成比" dataDxfId="483"/>
    <tableColumn id="16" xr3:uid="{D13A4514-76E5-4F53-A71D-797FD8FFCA3C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561005-5FD1-4586-9DCD-825670525B43}" name="M_TABLE_43100" displayName="M_TABLE_43100" ref="B23:I43" totalsRowShown="0">
  <autoFilter ref="B23:I43" xr:uid="{11561005-5FD1-4586-9DCD-825670525B43}"/>
  <tableColumns count="8">
    <tableColumn id="9" xr3:uid="{4DB1CE3C-B745-4083-9E89-53417DBA0D65}" name="産業中分類上位２０"/>
    <tableColumn id="10" xr3:uid="{D78AF185-834A-4062-A6D2-182DABDB1648}" name="総数／事業所数" dataCellStyle="桁区切り"/>
    <tableColumn id="11" xr3:uid="{F2C24631-2792-48CC-A339-63F6AB60C44F}" name="総数／構成比" dataDxfId="691"/>
    <tableColumn id="12" xr3:uid="{032518CE-5BDA-443A-9523-2F8EFB4B0265}" name="個人／事業所数" dataCellStyle="桁区切り"/>
    <tableColumn id="13" xr3:uid="{E92CE2D7-1C9F-4648-9AF0-DD69CDF09129}" name="個人／構成比" dataDxfId="690"/>
    <tableColumn id="14" xr3:uid="{71C0A910-B99F-49FB-8CF4-A03E3B89441D}" name="法人／事業所数" dataCellStyle="桁区切り"/>
    <tableColumn id="15" xr3:uid="{12308D0B-CDA1-45A6-97C3-F7F7A079C6ED}" name="法人／構成比" dataDxfId="689"/>
    <tableColumn id="16" xr3:uid="{192AE177-4D31-408B-849D-272CA73CF6CC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4887AE1-EDA1-4297-8ACF-773832953CB8}" name="M_TABLE_43213" displayName="M_TABLE_43213" ref="B23:I43" totalsRowShown="0">
  <autoFilter ref="B23:I43" xr:uid="{84887AE1-EDA1-4297-8ACF-773832953CB8}"/>
  <tableColumns count="8">
    <tableColumn id="9" xr3:uid="{6349864D-B06C-4D31-B97E-2709F315B9CE}" name="産業中分類上位２０"/>
    <tableColumn id="10" xr3:uid="{696E6331-E998-4B14-AFFE-50BAE9789EE8}" name="総数／事業所数" dataCellStyle="桁区切り"/>
    <tableColumn id="11" xr3:uid="{F5ED0503-482F-4ACD-BDBB-92CC87508655}" name="総数／構成比" dataDxfId="481"/>
    <tableColumn id="12" xr3:uid="{6EA58943-2250-4EFB-8168-F57A441FD683}" name="個人／事業所数" dataCellStyle="桁区切り"/>
    <tableColumn id="13" xr3:uid="{7F87BD9E-FBD6-4860-931D-6005EA07F811}" name="個人／構成比" dataDxfId="480"/>
    <tableColumn id="14" xr3:uid="{CF9DEAC1-F775-41DB-B5F1-279285F20B09}" name="法人／事業所数" dataCellStyle="桁区切り"/>
    <tableColumn id="15" xr3:uid="{A66F7944-73E3-450A-8470-CB683E037400}" name="法人／構成比" dataDxfId="479"/>
    <tableColumn id="16" xr3:uid="{60017AC6-3DA8-4A9F-BC4E-D776E80AF8D9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32DEC41-C0F2-4228-AF2D-F7D7D92C9816}" name="S_TABLE_43213" displayName="S_TABLE_43213" ref="B46:I67" totalsRowShown="0">
  <autoFilter ref="B46:I67" xr:uid="{332DEC41-C0F2-4228-AF2D-F7D7D92C9816}"/>
  <tableColumns count="8">
    <tableColumn id="9" xr3:uid="{5A9EC106-7036-43A9-BF85-B3F5DA89C5BE}" name="産業小分類上位２０"/>
    <tableColumn id="10" xr3:uid="{FAAE0374-9E06-49CE-9418-7AA9FFA6A8A1}" name="総数／事業所数" dataCellStyle="桁区切り"/>
    <tableColumn id="11" xr3:uid="{C5EF9405-EC90-40B9-A312-246B9C356989}" name="総数／構成比" dataDxfId="478"/>
    <tableColumn id="12" xr3:uid="{871A082B-DA5F-4C9B-944A-C42156056A48}" name="個人／事業所数" dataCellStyle="桁区切り"/>
    <tableColumn id="13" xr3:uid="{35448ED2-EF71-4516-9CE4-747C434635D4}" name="個人／構成比" dataDxfId="477"/>
    <tableColumn id="14" xr3:uid="{F8D41AD8-19F7-4845-B473-60454595A762}" name="法人／事業所数" dataCellStyle="桁区切り"/>
    <tableColumn id="15" xr3:uid="{5F3EBA64-A2D3-45BE-8987-245E7F3F676B}" name="法人／構成比" dataDxfId="476"/>
    <tableColumn id="16" xr3:uid="{50914BDE-B508-4BFF-BF59-4C0BB86AEB99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FB59FF5-FF5E-4546-AD0A-92AA186D107F}" name="LTBL_43214" displayName="LTBL_43214" ref="B4:I20" totalsRowCount="1">
  <autoFilter ref="B4:I19" xr:uid="{FFB59FF5-FF5E-4546-AD0A-92AA186D107F}"/>
  <tableColumns count="8">
    <tableColumn id="9" xr3:uid="{79B3031F-D9C3-4848-9E97-DA7429AC8617}" name="産業大分類" totalsRowLabel="合計" totalsRowDxfId="475"/>
    <tableColumn id="10" xr3:uid="{9C85C827-1486-4A75-846C-3CB4B5593CD5}" name="総数／事業所数" totalsRowFunction="custom" totalsRowDxfId="474" dataCellStyle="桁区切り" totalsRowCellStyle="桁区切り">
      <totalsRowFormula>SUM(LTBL_43214[総数／事業所数])</totalsRowFormula>
    </tableColumn>
    <tableColumn id="11" xr3:uid="{458FBD3A-8E3D-4B9B-BFD5-8CF45612F4BE}" name="総数／構成比" dataDxfId="473"/>
    <tableColumn id="12" xr3:uid="{B94CE026-956F-4A83-95E8-ADCDA3AB08EE}" name="個人／事業所数" totalsRowFunction="sum" totalsRowDxfId="472" dataCellStyle="桁区切り" totalsRowCellStyle="桁区切り"/>
    <tableColumn id="13" xr3:uid="{68CC5D8A-B09F-4646-82A7-CC607B98A992}" name="個人／構成比" dataDxfId="471"/>
    <tableColumn id="14" xr3:uid="{614EC7E7-EB6F-430F-AAD9-F5A656C74C95}" name="法人／事業所数" totalsRowFunction="sum" totalsRowDxfId="470" dataCellStyle="桁区切り" totalsRowCellStyle="桁区切り"/>
    <tableColumn id="15" xr3:uid="{B7F146F3-3FE7-443D-A2AC-8CC01FCB45CB}" name="法人／構成比" dataDxfId="469"/>
    <tableColumn id="16" xr3:uid="{95F325A0-171E-464D-872D-5111B35B4A39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E172588-4CA4-458C-9D08-889D50B68020}" name="M_TABLE_43214" displayName="M_TABLE_43214" ref="B23:I43" totalsRowShown="0">
  <autoFilter ref="B23:I43" xr:uid="{8E172588-4CA4-458C-9D08-889D50B68020}"/>
  <tableColumns count="8">
    <tableColumn id="9" xr3:uid="{FB229A5D-3406-4597-AA69-954CCF1F8CC8}" name="産業中分類上位２０"/>
    <tableColumn id="10" xr3:uid="{07C57AEE-487D-47D9-A195-70D643C57764}" name="総数／事業所数" dataCellStyle="桁区切り"/>
    <tableColumn id="11" xr3:uid="{E310CA14-300B-4597-88E8-8A915460A402}" name="総数／構成比" dataDxfId="467"/>
    <tableColumn id="12" xr3:uid="{7AB88483-1935-4657-99A3-240537A69B49}" name="個人／事業所数" dataCellStyle="桁区切り"/>
    <tableColumn id="13" xr3:uid="{DABEBC4F-A6BF-439E-AAA9-E0192EC21BAC}" name="個人／構成比" dataDxfId="466"/>
    <tableColumn id="14" xr3:uid="{E10F52D3-2E13-4764-9C8E-6F117C8A3380}" name="法人／事業所数" dataCellStyle="桁区切り"/>
    <tableColumn id="15" xr3:uid="{056B279F-EC3B-4CD0-9016-0A93175554D7}" name="法人／構成比" dataDxfId="465"/>
    <tableColumn id="16" xr3:uid="{53B25B68-728E-4325-BE5C-14267F468AD4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79EE920-1D83-416F-8315-2001FABB0437}" name="S_TABLE_43214" displayName="S_TABLE_43214" ref="B46:I66" totalsRowShown="0">
  <autoFilter ref="B46:I66" xr:uid="{979EE920-1D83-416F-8315-2001FABB0437}"/>
  <tableColumns count="8">
    <tableColumn id="9" xr3:uid="{701D2010-7FEA-4F75-A43D-4E913A247F19}" name="産業小分類上位２０"/>
    <tableColumn id="10" xr3:uid="{E40874F9-87CF-4845-8534-E4CC9011D788}" name="総数／事業所数" dataCellStyle="桁区切り"/>
    <tableColumn id="11" xr3:uid="{41AA4D19-58B0-4D7B-B16B-D6583CDD0D41}" name="総数／構成比" dataDxfId="464"/>
    <tableColumn id="12" xr3:uid="{A397916E-E643-4F9D-BD29-AAC9A6504F02}" name="個人／事業所数" dataCellStyle="桁区切り"/>
    <tableColumn id="13" xr3:uid="{8AA627C0-7343-40A3-AC3B-A9330C8C92DE}" name="個人／構成比" dataDxfId="463"/>
    <tableColumn id="14" xr3:uid="{5776C24C-6419-4A83-9F97-EA0DE07F9FC7}" name="法人／事業所数" dataCellStyle="桁区切り"/>
    <tableColumn id="15" xr3:uid="{FE7E3CF6-B0C8-4F7C-91D7-FF9F5F01DE66}" name="法人／構成比" dataDxfId="462"/>
    <tableColumn id="16" xr3:uid="{44979030-7D6F-4EE8-9166-9F2856DE0533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98521FC-DE44-470A-BC20-BCD3F84624EA}" name="LTBL_43215" displayName="LTBL_43215" ref="B4:I20" totalsRowCount="1">
  <autoFilter ref="B4:I19" xr:uid="{098521FC-DE44-470A-BC20-BCD3F84624EA}"/>
  <tableColumns count="8">
    <tableColumn id="9" xr3:uid="{D8DFAFE0-E34E-4F37-B25C-2EDEB1E2CA15}" name="産業大分類" totalsRowLabel="合計" totalsRowDxfId="461"/>
    <tableColumn id="10" xr3:uid="{4DC3175F-FF08-47BE-B161-43DEE276D4AF}" name="総数／事業所数" totalsRowFunction="custom" totalsRowDxfId="460" dataCellStyle="桁区切り" totalsRowCellStyle="桁区切り">
      <totalsRowFormula>SUM(LTBL_43215[総数／事業所数])</totalsRowFormula>
    </tableColumn>
    <tableColumn id="11" xr3:uid="{24B80AC7-7773-4C8A-A488-ACCE152C77C3}" name="総数／構成比" dataDxfId="459"/>
    <tableColumn id="12" xr3:uid="{F56F2FD7-9945-4F55-91FF-3E679F2A606B}" name="個人／事業所数" totalsRowFunction="sum" totalsRowDxfId="458" dataCellStyle="桁区切り" totalsRowCellStyle="桁区切り"/>
    <tableColumn id="13" xr3:uid="{720C7957-8615-4730-B740-89F28F4FEBD2}" name="個人／構成比" dataDxfId="457"/>
    <tableColumn id="14" xr3:uid="{EE0B1310-726E-4C9D-982E-90BA9D8EE968}" name="法人／事業所数" totalsRowFunction="sum" totalsRowDxfId="456" dataCellStyle="桁区切り" totalsRowCellStyle="桁区切り"/>
    <tableColumn id="15" xr3:uid="{6F131A9D-55F6-443D-AC22-CB7582313C29}" name="法人／構成比" dataDxfId="455"/>
    <tableColumn id="16" xr3:uid="{73B1723F-FE96-4F52-8845-464D8F7B4979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1868FE7-0757-4C4F-B8F7-5A30D0EB3CD2}" name="M_TABLE_43215" displayName="M_TABLE_43215" ref="B23:I43" totalsRowShown="0">
  <autoFilter ref="B23:I43" xr:uid="{D1868FE7-0757-4C4F-B8F7-5A30D0EB3CD2}"/>
  <tableColumns count="8">
    <tableColumn id="9" xr3:uid="{AAE0BEE7-F282-49B8-BCBD-5E78B0DD5AA4}" name="産業中分類上位２０"/>
    <tableColumn id="10" xr3:uid="{D2E7D61C-F962-4A72-8DE5-D5CDB26A6C3B}" name="総数／事業所数" dataCellStyle="桁区切り"/>
    <tableColumn id="11" xr3:uid="{7EF1E97F-EF96-49F0-A419-5DB29FF56EAD}" name="総数／構成比" dataDxfId="453"/>
    <tableColumn id="12" xr3:uid="{0F413581-32E0-4A57-90CE-50181E404FEB}" name="個人／事業所数" dataCellStyle="桁区切り"/>
    <tableColumn id="13" xr3:uid="{4F836891-EE0F-4180-B508-B0658B2C87B0}" name="個人／構成比" dataDxfId="452"/>
    <tableColumn id="14" xr3:uid="{9F14A798-6865-49CC-8524-A4B164B21B72}" name="法人／事業所数" dataCellStyle="桁区切り"/>
    <tableColumn id="15" xr3:uid="{20B7E4BF-AC1A-4D8B-BA33-C58C6F0E8798}" name="法人／構成比" dataDxfId="451"/>
    <tableColumn id="16" xr3:uid="{8D932456-29CC-4FFA-B000-4039F36D42B8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AC01B78-9B5C-4E65-A77F-0A0F81F267E2}" name="S_TABLE_43215" displayName="S_TABLE_43215" ref="B46:I67" totalsRowShown="0">
  <autoFilter ref="B46:I67" xr:uid="{2AC01B78-9B5C-4E65-A77F-0A0F81F267E2}"/>
  <tableColumns count="8">
    <tableColumn id="9" xr3:uid="{45035493-3BD9-47D1-BD10-9E8F6A37858E}" name="産業小分類上位２０"/>
    <tableColumn id="10" xr3:uid="{57363393-F3BC-4161-97EE-F10071D72267}" name="総数／事業所数" dataCellStyle="桁区切り"/>
    <tableColumn id="11" xr3:uid="{2473FA44-03D1-460C-91F1-22496C96282A}" name="総数／構成比" dataDxfId="450"/>
    <tableColumn id="12" xr3:uid="{476B995B-F059-47DE-999C-C05DC605DCE4}" name="個人／事業所数" dataCellStyle="桁区切り"/>
    <tableColumn id="13" xr3:uid="{952444BA-11AC-40B1-9347-42EE32BD0FB9}" name="個人／構成比" dataDxfId="449"/>
    <tableColumn id="14" xr3:uid="{EB2EB8D4-BD71-4424-92B5-EBF91B62550C}" name="法人／事業所数" dataCellStyle="桁区切り"/>
    <tableColumn id="15" xr3:uid="{5E5BA35A-B7DB-4633-81BB-1C5A8D85600B}" name="法人／構成比" dataDxfId="448"/>
    <tableColumn id="16" xr3:uid="{3FC8EBA3-4EF9-4B3A-B9DA-ECE23EBF580B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922B85F-72B8-485E-844C-B0D4FE04F0A2}" name="LTBL_43216" displayName="LTBL_43216" ref="B4:I20" totalsRowCount="1">
  <autoFilter ref="B4:I19" xr:uid="{9922B85F-72B8-485E-844C-B0D4FE04F0A2}"/>
  <tableColumns count="8">
    <tableColumn id="9" xr3:uid="{F11C6D94-9E92-4A90-AB59-7B1701A8E7FF}" name="産業大分類" totalsRowLabel="合計" totalsRowDxfId="447"/>
    <tableColumn id="10" xr3:uid="{D18243A7-1742-483A-9006-CBA06E23DDA7}" name="総数／事業所数" totalsRowFunction="custom" totalsRowDxfId="446" dataCellStyle="桁区切り" totalsRowCellStyle="桁区切り">
      <totalsRowFormula>SUM(LTBL_43216[総数／事業所数])</totalsRowFormula>
    </tableColumn>
    <tableColumn id="11" xr3:uid="{EF10BB36-919D-4492-87A1-CDC4425EDBDD}" name="総数／構成比" dataDxfId="445"/>
    <tableColumn id="12" xr3:uid="{B0C5438B-A89F-42C3-899C-FEE4E410087D}" name="個人／事業所数" totalsRowFunction="sum" totalsRowDxfId="444" dataCellStyle="桁区切り" totalsRowCellStyle="桁区切り"/>
    <tableColumn id="13" xr3:uid="{BC0383F3-8558-4E8B-871A-6572B3B05A7C}" name="個人／構成比" dataDxfId="443"/>
    <tableColumn id="14" xr3:uid="{9B6F7FEE-CD9D-4734-9D94-106EE42DF01A}" name="法人／事業所数" totalsRowFunction="sum" totalsRowDxfId="442" dataCellStyle="桁区切り" totalsRowCellStyle="桁区切り"/>
    <tableColumn id="15" xr3:uid="{42BE8BCF-4CC4-477A-BAED-5F5E88013274}" name="法人／構成比" dataDxfId="441"/>
    <tableColumn id="16" xr3:uid="{54FEAFF0-A2FE-448F-8104-CDC3FA53978B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7CA0B64-8B36-4B9B-BC9A-B13078699EC2}" name="M_TABLE_43216" displayName="M_TABLE_43216" ref="B23:I44" totalsRowShown="0">
  <autoFilter ref="B23:I44" xr:uid="{97CA0B64-8B36-4B9B-BC9A-B13078699EC2}"/>
  <tableColumns count="8">
    <tableColumn id="9" xr3:uid="{D7BEE79A-FDD3-46A5-8156-D3B3C3CF5015}" name="産業中分類上位２０"/>
    <tableColumn id="10" xr3:uid="{206B001C-8833-4A00-86CE-35C93179243F}" name="総数／事業所数" dataCellStyle="桁区切り"/>
    <tableColumn id="11" xr3:uid="{864C6D31-D22B-4299-8DEB-069E138125CC}" name="総数／構成比" dataDxfId="439"/>
    <tableColumn id="12" xr3:uid="{EFBED2A2-BCB7-455C-9067-019BD41CB18F}" name="個人／事業所数" dataCellStyle="桁区切り"/>
    <tableColumn id="13" xr3:uid="{29D06145-292A-4B81-802C-DD5C47DC495C}" name="個人／構成比" dataDxfId="438"/>
    <tableColumn id="14" xr3:uid="{4B4B43D2-B6F4-4D54-BEE5-CAFD2272B9A8}" name="法人／事業所数" dataCellStyle="桁区切り"/>
    <tableColumn id="15" xr3:uid="{CAB2879D-B289-4308-8E0D-937D46A1AAA2}" name="法人／構成比" dataDxfId="437"/>
    <tableColumn id="16" xr3:uid="{2ABFE005-C82A-4D05-86D4-B3BB5FDBEBFC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72FAB8F-5C30-45C8-AB68-1E4B62B69B25}" name="S_TABLE_43100" displayName="S_TABLE_43100" ref="B46:I66" totalsRowShown="0">
  <autoFilter ref="B46:I66" xr:uid="{172FAB8F-5C30-45C8-AB68-1E4B62B69B25}"/>
  <tableColumns count="8">
    <tableColumn id="9" xr3:uid="{33563F1F-2C54-4D7A-B5E5-D4FC538D01E8}" name="産業小分類上位２０"/>
    <tableColumn id="10" xr3:uid="{F02DA2A5-875B-416E-99A6-CB4BF14C7970}" name="総数／事業所数" dataCellStyle="桁区切り"/>
    <tableColumn id="11" xr3:uid="{23128C38-F85D-4005-8AE8-5179D9E99FB6}" name="総数／構成比" dataDxfId="688"/>
    <tableColumn id="12" xr3:uid="{3F125043-3E3D-4FE1-A38C-2F982E705996}" name="個人／事業所数" dataCellStyle="桁区切り"/>
    <tableColumn id="13" xr3:uid="{C214CC79-DF3C-4A10-8B73-ACC3C0BCA7C6}" name="個人／構成比" dataDxfId="687"/>
    <tableColumn id="14" xr3:uid="{FD875779-1C42-4B02-958F-3CD26B4A43E4}" name="法人／事業所数" dataCellStyle="桁区切り"/>
    <tableColumn id="15" xr3:uid="{CD9EE1EB-4B92-43CF-9C91-A6E6FB8FDBA7}" name="法人／構成比" dataDxfId="686"/>
    <tableColumn id="16" xr3:uid="{9A504C86-426F-4660-9CAC-C1C8A1679F32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CB22666-6F13-40DA-87AF-E54873974264}" name="S_TABLE_43216" displayName="S_TABLE_43216" ref="B47:I67" totalsRowShown="0">
  <autoFilter ref="B47:I67" xr:uid="{2CB22666-6F13-40DA-87AF-E54873974264}"/>
  <tableColumns count="8">
    <tableColumn id="9" xr3:uid="{6F501BD8-9DD7-4099-B9F8-E9C4414E0A23}" name="産業小分類上位２０"/>
    <tableColumn id="10" xr3:uid="{47151787-1502-4D96-95A0-82516744925E}" name="総数／事業所数" dataCellStyle="桁区切り"/>
    <tableColumn id="11" xr3:uid="{02AC5337-4BDB-4E8E-AA18-2AE2BAFA2282}" name="総数／構成比" dataDxfId="436"/>
    <tableColumn id="12" xr3:uid="{C6EEE478-027B-4D46-9A24-79BBA1D245EC}" name="個人／事業所数" dataCellStyle="桁区切り"/>
    <tableColumn id="13" xr3:uid="{BD510988-6D98-4387-AD82-96405FC19779}" name="個人／構成比" dataDxfId="435"/>
    <tableColumn id="14" xr3:uid="{2192E071-C94E-4653-982A-48A8AAEBACC3}" name="法人／事業所数" dataCellStyle="桁区切り"/>
    <tableColumn id="15" xr3:uid="{8F90DDFB-A61F-43A0-A712-CB9C27024044}" name="法人／構成比" dataDxfId="434"/>
    <tableColumn id="16" xr3:uid="{71FEAA81-0F88-45D0-A740-F191C7A24533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44E2934-A197-45F7-ACA5-4FF32684C7B4}" name="LTBL_43348" displayName="LTBL_43348" ref="B4:I20" totalsRowCount="1">
  <autoFilter ref="B4:I19" xr:uid="{744E2934-A197-45F7-ACA5-4FF32684C7B4}"/>
  <tableColumns count="8">
    <tableColumn id="9" xr3:uid="{0C2E577F-F314-4F3A-9CB8-E959427CC764}" name="産業大分類" totalsRowLabel="合計" totalsRowDxfId="433"/>
    <tableColumn id="10" xr3:uid="{F54A7E39-8EF9-49EE-8A34-E0A414C1E9D0}" name="総数／事業所数" totalsRowFunction="custom" totalsRowDxfId="432" dataCellStyle="桁区切り" totalsRowCellStyle="桁区切り">
      <totalsRowFormula>SUM(LTBL_43348[総数／事業所数])</totalsRowFormula>
    </tableColumn>
    <tableColumn id="11" xr3:uid="{2009DC0D-57DB-4853-AAC9-44D847E32D9E}" name="総数／構成比" dataDxfId="431"/>
    <tableColumn id="12" xr3:uid="{B8111127-CD9B-4A42-AA6F-BAA4672792DC}" name="個人／事業所数" totalsRowFunction="sum" totalsRowDxfId="430" dataCellStyle="桁区切り" totalsRowCellStyle="桁区切り"/>
    <tableColumn id="13" xr3:uid="{10E5A0C8-8252-453D-9773-FD8B05912843}" name="個人／構成比" dataDxfId="429"/>
    <tableColumn id="14" xr3:uid="{89E499AB-3C34-47EE-8B9B-D5A0620E4CB0}" name="法人／事業所数" totalsRowFunction="sum" totalsRowDxfId="428" dataCellStyle="桁区切り" totalsRowCellStyle="桁区切り"/>
    <tableColumn id="15" xr3:uid="{4E244856-A268-42CD-8F95-5B9B2963BA10}" name="法人／構成比" dataDxfId="427"/>
    <tableColumn id="16" xr3:uid="{CBFB5FC7-8712-4D7E-B1D2-24603E5FA726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9B3ADE6-A7D9-468E-B81A-D6399D0F3632}" name="M_TABLE_43348" displayName="M_TABLE_43348" ref="B23:I52" totalsRowShown="0">
  <autoFilter ref="B23:I52" xr:uid="{89B3ADE6-A7D9-468E-B81A-D6399D0F3632}"/>
  <tableColumns count="8">
    <tableColumn id="9" xr3:uid="{87FB63D7-9EE5-45BD-806A-BA5A908CF496}" name="産業中分類上位２０"/>
    <tableColumn id="10" xr3:uid="{5047F218-0025-4F69-88AB-72BEB13EFA5F}" name="総数／事業所数" dataCellStyle="桁区切り"/>
    <tableColumn id="11" xr3:uid="{B0D9CAF4-B06D-4E91-9778-C961F8D7E22A}" name="総数／構成比" dataDxfId="425"/>
    <tableColumn id="12" xr3:uid="{941E9B36-86D5-4CA8-A77B-9D7224AABA36}" name="個人／事業所数" dataCellStyle="桁区切り"/>
    <tableColumn id="13" xr3:uid="{285592AE-375C-4499-A697-74429B0D3E8B}" name="個人／構成比" dataDxfId="424"/>
    <tableColumn id="14" xr3:uid="{EB26F158-724C-403B-A007-D3CE75A8B8E7}" name="法人／事業所数" dataCellStyle="桁区切り"/>
    <tableColumn id="15" xr3:uid="{534AA4A4-5471-4410-A9FE-45CCA3A184BD}" name="法人／構成比" dataDxfId="423"/>
    <tableColumn id="16" xr3:uid="{1D4C362B-7EED-4FA6-9D88-AF2F5E4B6230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79B5F05-CC65-43D6-9C40-08119A9DD655}" name="S_TABLE_43348" displayName="S_TABLE_43348" ref="B55:I75" totalsRowShown="0">
  <autoFilter ref="B55:I75" xr:uid="{079B5F05-CC65-43D6-9C40-08119A9DD655}"/>
  <tableColumns count="8">
    <tableColumn id="9" xr3:uid="{8956BF83-B7F8-4718-AB6C-D942206D4BAF}" name="産業小分類上位２０"/>
    <tableColumn id="10" xr3:uid="{C5634299-8838-41B1-9D48-9333B3E6B1AA}" name="総数／事業所数" dataCellStyle="桁区切り"/>
    <tableColumn id="11" xr3:uid="{63290BA1-9E56-446D-9AB2-58A1B08E31E0}" name="総数／構成比" dataDxfId="422"/>
    <tableColumn id="12" xr3:uid="{27BA37AA-63A4-426E-B1C0-36EA34BC0213}" name="個人／事業所数" dataCellStyle="桁区切り"/>
    <tableColumn id="13" xr3:uid="{18E6AC1A-082F-46D3-B793-3B1A530BEE23}" name="個人／構成比" dataDxfId="421"/>
    <tableColumn id="14" xr3:uid="{79DA65E4-9B96-4E9A-A15F-5425E08BDB30}" name="法人／事業所数" dataCellStyle="桁区切り"/>
    <tableColumn id="15" xr3:uid="{96F9DB46-C1D0-4B41-B046-BAB0EBE2BE59}" name="法人／構成比" dataDxfId="420"/>
    <tableColumn id="16" xr3:uid="{1CE7B50D-AEDC-4A7B-904E-1A5E9BB74D3C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35B17BD-88E7-4373-8E3E-166C90412B39}" name="LTBL_43364" displayName="LTBL_43364" ref="B4:I20" totalsRowCount="1">
  <autoFilter ref="B4:I19" xr:uid="{035B17BD-88E7-4373-8E3E-166C90412B39}"/>
  <tableColumns count="8">
    <tableColumn id="9" xr3:uid="{9BB1E6F9-CD1D-4F2A-B7A1-89994CF62447}" name="産業大分類" totalsRowLabel="合計" totalsRowDxfId="419"/>
    <tableColumn id="10" xr3:uid="{8CD16BF9-BC9F-4A32-B90E-7FCDF91A1C8F}" name="総数／事業所数" totalsRowFunction="custom" totalsRowDxfId="418" dataCellStyle="桁区切り" totalsRowCellStyle="桁区切り">
      <totalsRowFormula>SUM(LTBL_43364[総数／事業所数])</totalsRowFormula>
    </tableColumn>
    <tableColumn id="11" xr3:uid="{F9F62FCE-DD96-40F4-8C8F-4AD766046012}" name="総数／構成比" dataDxfId="417"/>
    <tableColumn id="12" xr3:uid="{85AE6FCB-76E7-4C3E-BFA5-4F811F97FB4A}" name="個人／事業所数" totalsRowFunction="sum" totalsRowDxfId="416" dataCellStyle="桁区切り" totalsRowCellStyle="桁区切り"/>
    <tableColumn id="13" xr3:uid="{CC117D5E-604D-4FF3-94C9-F59B7A07136C}" name="個人／構成比" dataDxfId="415"/>
    <tableColumn id="14" xr3:uid="{7E5FBF48-F85E-4023-A4D1-5D666BA69406}" name="法人／事業所数" totalsRowFunction="sum" totalsRowDxfId="414" dataCellStyle="桁区切り" totalsRowCellStyle="桁区切り"/>
    <tableColumn id="15" xr3:uid="{33B7A4D5-D1DE-4A2F-B9A8-8EF5CA72EC59}" name="法人／構成比" dataDxfId="413"/>
    <tableColumn id="16" xr3:uid="{F121E3FC-0126-4D50-83C3-2EBE132D239F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DD64A86-B6C9-47A7-BB45-2BA0A059F160}" name="M_TABLE_43364" displayName="M_TABLE_43364" ref="B23:I52" totalsRowShown="0">
  <autoFilter ref="B23:I52" xr:uid="{FDD64A86-B6C9-47A7-BB45-2BA0A059F160}"/>
  <tableColumns count="8">
    <tableColumn id="9" xr3:uid="{C024735A-4512-4F19-8DAE-EE7C23FDF8D3}" name="産業中分類上位２０"/>
    <tableColumn id="10" xr3:uid="{8A367836-749B-44A7-BA72-21C24CC11CDD}" name="総数／事業所数" dataCellStyle="桁区切り"/>
    <tableColumn id="11" xr3:uid="{8D4A09A5-5E4B-4B2C-8D7A-CA05894E2070}" name="総数／構成比" dataDxfId="411"/>
    <tableColumn id="12" xr3:uid="{44EEEA7E-9AD5-4FA4-A905-5D57FD237FEE}" name="個人／事業所数" dataCellStyle="桁区切り"/>
    <tableColumn id="13" xr3:uid="{B83DB62D-9192-4099-8D80-DB0C9189FAED}" name="個人／構成比" dataDxfId="410"/>
    <tableColumn id="14" xr3:uid="{615BA073-EAB6-40CF-B5C2-A69D6684D168}" name="法人／事業所数" dataCellStyle="桁区切り"/>
    <tableColumn id="15" xr3:uid="{F5245FE5-2851-4B3E-8638-B310C9C4DFB1}" name="法人／構成比" dataDxfId="409"/>
    <tableColumn id="16" xr3:uid="{300F4D9A-E34E-47ED-AD43-A22F357D10BA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60839BA-0353-4D16-AD86-A2CD48858AF4}" name="S_TABLE_43364" displayName="S_TABLE_43364" ref="B55:I111" totalsRowShown="0">
  <autoFilter ref="B55:I111" xr:uid="{960839BA-0353-4D16-AD86-A2CD48858AF4}"/>
  <tableColumns count="8">
    <tableColumn id="9" xr3:uid="{A2FC8C07-5060-4A8E-906D-C82F38009600}" name="産業小分類上位２０"/>
    <tableColumn id="10" xr3:uid="{06EF7930-8F90-4477-98ED-2D9219233A86}" name="総数／事業所数" dataCellStyle="桁区切り"/>
    <tableColumn id="11" xr3:uid="{D2096694-A9A2-4D82-A7B7-01E5C70B2731}" name="総数／構成比" dataDxfId="408"/>
    <tableColumn id="12" xr3:uid="{E84BB853-A3EA-431B-8CBA-62F4D25484DF}" name="個人／事業所数" dataCellStyle="桁区切り"/>
    <tableColumn id="13" xr3:uid="{9E964ECD-B121-4C9B-B534-54C8FC157551}" name="個人／構成比" dataDxfId="407"/>
    <tableColumn id="14" xr3:uid="{1197EEF4-12E7-4970-B6AB-20F7F653AE40}" name="法人／事業所数" dataCellStyle="桁区切り"/>
    <tableColumn id="15" xr3:uid="{6BF52516-84E1-4001-83E3-04F05D743777}" name="法人／構成比" dataDxfId="406"/>
    <tableColumn id="16" xr3:uid="{AA42DEA5-6C79-42AD-B468-74C590AE51B0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4211CC76-1D98-49E7-B53F-079F5B7A5096}" name="LTBL_43367" displayName="LTBL_43367" ref="B4:I20" totalsRowCount="1">
  <autoFilter ref="B4:I19" xr:uid="{4211CC76-1D98-49E7-B53F-079F5B7A5096}"/>
  <tableColumns count="8">
    <tableColumn id="9" xr3:uid="{17399838-F477-4F34-9A38-38C0B363F54B}" name="産業大分類" totalsRowLabel="合計" totalsRowDxfId="405"/>
    <tableColumn id="10" xr3:uid="{8C5F98BA-A16A-41CD-9539-B97291D9EBAE}" name="総数／事業所数" totalsRowFunction="custom" totalsRowDxfId="404" dataCellStyle="桁区切り" totalsRowCellStyle="桁区切り">
      <totalsRowFormula>SUM(LTBL_43367[総数／事業所数])</totalsRowFormula>
    </tableColumn>
    <tableColumn id="11" xr3:uid="{595B3A8B-BEF9-468C-B493-ACC1C7BFFB99}" name="総数／構成比" dataDxfId="403"/>
    <tableColumn id="12" xr3:uid="{5B88C8F8-268F-412D-81F4-8384D57871A0}" name="個人／事業所数" totalsRowFunction="sum" totalsRowDxfId="402" dataCellStyle="桁区切り" totalsRowCellStyle="桁区切り"/>
    <tableColumn id="13" xr3:uid="{961F7DF0-DCDB-41D1-AE42-3C15317B9B70}" name="個人／構成比" dataDxfId="401"/>
    <tableColumn id="14" xr3:uid="{47077256-E91D-4B6C-BCDE-302E026BEFF6}" name="法人／事業所数" totalsRowFunction="sum" totalsRowDxfId="400" dataCellStyle="桁区切り" totalsRowCellStyle="桁区切り"/>
    <tableColumn id="15" xr3:uid="{B7060E45-A921-415E-A8F4-F6BF54164461}" name="法人／構成比" dataDxfId="399"/>
    <tableColumn id="16" xr3:uid="{2ADF9A35-A457-42E3-B428-E4FA9FBADD93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D639A04-CD05-4611-A379-148640682ADD}" name="M_TABLE_43367" displayName="M_TABLE_43367" ref="B23:I47" totalsRowShown="0">
  <autoFilter ref="B23:I47" xr:uid="{0D639A04-CD05-4611-A379-148640682ADD}"/>
  <tableColumns count="8">
    <tableColumn id="9" xr3:uid="{6DFF5C90-BE70-4E4B-8E15-073A94639835}" name="産業中分類上位２０"/>
    <tableColumn id="10" xr3:uid="{382D988F-BF7D-44AF-A91D-B057815853DD}" name="総数／事業所数" dataCellStyle="桁区切り"/>
    <tableColumn id="11" xr3:uid="{244FEF22-9EC8-4018-B939-85FB3CBD07CB}" name="総数／構成比" dataDxfId="397"/>
    <tableColumn id="12" xr3:uid="{086B7BD7-29AA-48F2-B213-8FD7812CE7F4}" name="個人／事業所数" dataCellStyle="桁区切り"/>
    <tableColumn id="13" xr3:uid="{1AC5EA88-05D5-4711-A7B3-B20293F659BF}" name="個人／構成比" dataDxfId="396"/>
    <tableColumn id="14" xr3:uid="{3180B661-FC30-4068-AD89-5060D58F2BA2}" name="法人／事業所数" dataCellStyle="桁区切り"/>
    <tableColumn id="15" xr3:uid="{92327366-6DC2-4FE0-8AED-108E2A0D27D3}" name="法人／構成比" dataDxfId="395"/>
    <tableColumn id="16" xr3:uid="{30472F2F-F00A-423B-95B8-AB25BDDD0EA2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3CF9AFB-EF2E-43E9-BD1E-9AD116B1170F}" name="S_TABLE_43367" displayName="S_TABLE_43367" ref="B50:I78" totalsRowShown="0">
  <autoFilter ref="B50:I78" xr:uid="{73CF9AFB-EF2E-43E9-BD1E-9AD116B1170F}"/>
  <tableColumns count="8">
    <tableColumn id="9" xr3:uid="{13D433F0-CC03-4F44-8E05-5089C78712DF}" name="産業小分類上位２０"/>
    <tableColumn id="10" xr3:uid="{90DD82C7-D3BD-439F-A191-FE103FA3032B}" name="総数／事業所数" dataCellStyle="桁区切り"/>
    <tableColumn id="11" xr3:uid="{C8B4B37A-DC77-466F-8D72-B6547848D6B2}" name="総数／構成比" dataDxfId="394"/>
    <tableColumn id="12" xr3:uid="{E11C0C18-C0A6-41EC-90AE-064803DC23FB}" name="個人／事業所数" dataCellStyle="桁区切り"/>
    <tableColumn id="13" xr3:uid="{73A52C82-CA53-4F36-A1E1-12B876883170}" name="個人／構成比" dataDxfId="393"/>
    <tableColumn id="14" xr3:uid="{C4D1AE80-31BA-49BE-8603-CDF5EAE12CD5}" name="法人／事業所数" dataCellStyle="桁区切り"/>
    <tableColumn id="15" xr3:uid="{7E0E91BD-608F-4EBC-B611-F8BFB9DE562F}" name="法人／構成比" dataDxfId="392"/>
    <tableColumn id="16" xr3:uid="{FA6A26D3-32D1-4CF5-882F-576F9503AC54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3AF0D5-5806-47D7-96B1-ECA935A1AA14}" name="LTBL_43101" displayName="LTBL_43101" ref="B4:I20" totalsRowCount="1">
  <autoFilter ref="B4:I19" xr:uid="{133AF0D5-5806-47D7-96B1-ECA935A1AA14}"/>
  <tableColumns count="8">
    <tableColumn id="9" xr3:uid="{665BDFAD-5E5C-4FB7-95EE-A31DFE6B879E}" name="産業大分類" totalsRowLabel="合計" totalsRowDxfId="685"/>
    <tableColumn id="10" xr3:uid="{9467D664-84B9-480F-B860-856DA2F95A23}" name="総数／事業所数" totalsRowFunction="custom" totalsRowDxfId="684" dataCellStyle="桁区切り" totalsRowCellStyle="桁区切り">
      <totalsRowFormula>SUM(LTBL_43101[総数／事業所数])</totalsRowFormula>
    </tableColumn>
    <tableColumn id="11" xr3:uid="{B255E694-D6AE-45EA-A33E-B146E056371E}" name="総数／構成比" dataDxfId="683"/>
    <tableColumn id="12" xr3:uid="{94B210AC-CD1A-4867-A187-C28AC277C061}" name="個人／事業所数" totalsRowFunction="sum" totalsRowDxfId="682" dataCellStyle="桁区切り" totalsRowCellStyle="桁区切り"/>
    <tableColumn id="13" xr3:uid="{BAB5CDD5-0B66-4927-8374-3D84A4F6A57C}" name="個人／構成比" dataDxfId="681"/>
    <tableColumn id="14" xr3:uid="{B0A50591-6B1F-40E1-BEF2-7E86B84A75F9}" name="法人／事業所数" totalsRowFunction="sum" totalsRowDxfId="680" dataCellStyle="桁区切り" totalsRowCellStyle="桁区切り"/>
    <tableColumn id="15" xr3:uid="{5729E533-0A6B-4DF9-A8DD-764F159BF290}" name="法人／構成比" dataDxfId="679"/>
    <tableColumn id="16" xr3:uid="{B0171900-00C9-4F11-B075-D5FA30FB7550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A84ED67-6292-40F1-9849-095A2AAE722C}" name="LTBL_43368" displayName="LTBL_43368" ref="B4:I20" totalsRowCount="1">
  <autoFilter ref="B4:I19" xr:uid="{BA84ED67-6292-40F1-9849-095A2AAE722C}"/>
  <tableColumns count="8">
    <tableColumn id="9" xr3:uid="{221497BF-B3E7-4A04-B593-EB39AF7FD809}" name="産業大分類" totalsRowLabel="合計" totalsRowDxfId="391"/>
    <tableColumn id="10" xr3:uid="{E33DEC0A-C912-452B-8A7F-96A6FC6E5901}" name="総数／事業所数" totalsRowFunction="custom" totalsRowDxfId="390" dataCellStyle="桁区切り" totalsRowCellStyle="桁区切り">
      <totalsRowFormula>SUM(LTBL_43368[総数／事業所数])</totalsRowFormula>
    </tableColumn>
    <tableColumn id="11" xr3:uid="{5A559611-C624-4C3F-8A64-ABBF739AE9F0}" name="総数／構成比" dataDxfId="389"/>
    <tableColumn id="12" xr3:uid="{6314B647-F2EC-427F-8003-4BDBA1CA914E}" name="個人／事業所数" totalsRowFunction="sum" totalsRowDxfId="388" dataCellStyle="桁区切り" totalsRowCellStyle="桁区切り"/>
    <tableColumn id="13" xr3:uid="{12438604-CB1A-43DF-95EC-608F87782E4A}" name="個人／構成比" dataDxfId="387"/>
    <tableColumn id="14" xr3:uid="{161829E1-CF2F-41FB-AE56-2CB8273C04B7}" name="法人／事業所数" totalsRowFunction="sum" totalsRowDxfId="386" dataCellStyle="桁区切り" totalsRowCellStyle="桁区切り"/>
    <tableColumn id="15" xr3:uid="{B2B2F5D3-AEC9-415B-AC6E-53B42FCEC75B}" name="法人／構成比" dataDxfId="385"/>
    <tableColumn id="16" xr3:uid="{B87F3F95-DA61-45B7-B78A-7EFD56D298B6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B7064C-13A8-4C07-85EC-5B1F74748835}" name="M_TABLE_43368" displayName="M_TABLE_43368" ref="B23:I47" totalsRowShown="0">
  <autoFilter ref="B23:I47" xr:uid="{10B7064C-13A8-4C07-85EC-5B1F74748835}"/>
  <tableColumns count="8">
    <tableColumn id="9" xr3:uid="{571E88A5-347D-4FD4-9D32-67384638FBC8}" name="産業中分類上位２０"/>
    <tableColumn id="10" xr3:uid="{CA32B9E7-CA47-4642-828B-B51E28568E3D}" name="総数／事業所数" dataCellStyle="桁区切り"/>
    <tableColumn id="11" xr3:uid="{4192E7CA-49D8-41B3-A66A-368DDA9108C8}" name="総数／構成比" dataDxfId="383"/>
    <tableColumn id="12" xr3:uid="{F4C5168F-625B-46C4-A4BD-143D31E23E58}" name="個人／事業所数" dataCellStyle="桁区切り"/>
    <tableColumn id="13" xr3:uid="{3260268D-18B6-4B99-8669-3066A250F568}" name="個人／構成比" dataDxfId="382"/>
    <tableColumn id="14" xr3:uid="{9528F945-7E3A-4C9C-BA1B-81D6E80E8AD2}" name="法人／事業所数" dataCellStyle="桁区切り"/>
    <tableColumn id="15" xr3:uid="{D2569F4D-74EF-46DD-B823-32ACA24F6741}" name="法人／構成比" dataDxfId="381"/>
    <tableColumn id="16" xr3:uid="{A90F47BB-3443-41F0-A855-8E182F8648DC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E8A3536-1AF4-455F-97E1-B9F7527ECA6C}" name="S_TABLE_43368" displayName="S_TABLE_43368" ref="B50:I74" totalsRowShown="0">
  <autoFilter ref="B50:I74" xr:uid="{CE8A3536-1AF4-455F-97E1-B9F7527ECA6C}"/>
  <tableColumns count="8">
    <tableColumn id="9" xr3:uid="{0ED8C22D-0344-4DC9-8FC4-885BDCD83C20}" name="産業小分類上位２０"/>
    <tableColumn id="10" xr3:uid="{9CAC0B92-E7A6-4E0C-B1EC-BB9A82F070DE}" name="総数／事業所数" dataCellStyle="桁区切り"/>
    <tableColumn id="11" xr3:uid="{20CB4AB4-7430-414B-A3DE-C1E22D4BE299}" name="総数／構成比" dataDxfId="380"/>
    <tableColumn id="12" xr3:uid="{86903D08-0D9F-410B-9379-95DB8C2DDB37}" name="個人／事業所数" dataCellStyle="桁区切り"/>
    <tableColumn id="13" xr3:uid="{B53A6012-EAA1-46AC-9445-3A8A90AAEDDE}" name="個人／構成比" dataDxfId="379"/>
    <tableColumn id="14" xr3:uid="{553CE538-88FF-4541-9D91-F99180DAF156}" name="法人／事業所数" dataCellStyle="桁区切り"/>
    <tableColumn id="15" xr3:uid="{911DF1D2-D63D-4700-B8EB-36685C3EEEA8}" name="法人／構成比" dataDxfId="378"/>
    <tableColumn id="16" xr3:uid="{E1E2FA72-298B-479B-B12F-77821F98FF65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BC6267B-6079-4939-B9D4-B913E5BC7D5B}" name="LTBL_43369" displayName="LTBL_43369" ref="B4:I20" totalsRowCount="1">
  <autoFilter ref="B4:I19" xr:uid="{4BC6267B-6079-4939-B9D4-B913E5BC7D5B}"/>
  <tableColumns count="8">
    <tableColumn id="9" xr3:uid="{2F71C582-34E5-4E2E-A188-1DABA7984D9D}" name="産業大分類" totalsRowLabel="合計" totalsRowDxfId="377"/>
    <tableColumn id="10" xr3:uid="{1E4DFD23-53F6-40CE-975D-D849AE161E00}" name="総数／事業所数" totalsRowFunction="custom" totalsRowDxfId="376" dataCellStyle="桁区切り" totalsRowCellStyle="桁区切り">
      <totalsRowFormula>SUM(LTBL_43369[総数／事業所数])</totalsRowFormula>
    </tableColumn>
    <tableColumn id="11" xr3:uid="{53CC0DE1-A17B-432F-9527-EA3C2D00AAEA}" name="総数／構成比" dataDxfId="375"/>
    <tableColumn id="12" xr3:uid="{D0A3E4DE-9939-434B-BFBE-5F1A9617E610}" name="個人／事業所数" totalsRowFunction="sum" totalsRowDxfId="374" dataCellStyle="桁区切り" totalsRowCellStyle="桁区切り"/>
    <tableColumn id="13" xr3:uid="{9EC731FD-0B04-4C97-83D9-B96184FFF35D}" name="個人／構成比" dataDxfId="373"/>
    <tableColumn id="14" xr3:uid="{21E8094B-9170-45EF-85A8-E15290D3BBD8}" name="法人／事業所数" totalsRowFunction="sum" totalsRowDxfId="372" dataCellStyle="桁区切り" totalsRowCellStyle="桁区切り"/>
    <tableColumn id="15" xr3:uid="{B03CE912-2E0D-4FCC-A548-91EFD791809E}" name="法人／構成比" dataDxfId="371"/>
    <tableColumn id="16" xr3:uid="{23F167F3-D6C5-4FDD-AD5B-6961C5ECF789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9F61D47-504A-4D73-BC95-75E2B672AA29}" name="M_TABLE_43369" displayName="M_TABLE_43369" ref="B23:I44" totalsRowShown="0">
  <autoFilter ref="B23:I44" xr:uid="{E9F61D47-504A-4D73-BC95-75E2B672AA29}"/>
  <tableColumns count="8">
    <tableColumn id="9" xr3:uid="{897911C4-D813-4F54-A0B8-DFDF68B21487}" name="産業中分類上位２０"/>
    <tableColumn id="10" xr3:uid="{42601793-9BD4-4E96-BE3A-EECB400D64F5}" name="総数／事業所数" dataCellStyle="桁区切り"/>
    <tableColumn id="11" xr3:uid="{F842B408-7798-461E-B0BB-1487D26A09E8}" name="総数／構成比" dataDxfId="369"/>
    <tableColumn id="12" xr3:uid="{34DBFA2A-8EB3-48F3-9A89-05336668EF03}" name="個人／事業所数" dataCellStyle="桁区切り"/>
    <tableColumn id="13" xr3:uid="{37ED9C27-06B2-4E20-A3BE-A8492FD5F760}" name="個人／構成比" dataDxfId="368"/>
    <tableColumn id="14" xr3:uid="{D4AA827F-B3A3-4B0C-9E02-54A97E469242}" name="法人／事業所数" dataCellStyle="桁区切り"/>
    <tableColumn id="15" xr3:uid="{1CA71F1E-6288-4448-AB47-F2A0603BF49B}" name="法人／構成比" dataDxfId="367"/>
    <tableColumn id="16" xr3:uid="{C5DB17C2-54BB-42FA-8620-BBE56104BDC0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52F61665-A5F7-41B5-B10D-44EDDFFB4AD8}" name="S_TABLE_43369" displayName="S_TABLE_43369" ref="B47:I74" totalsRowShown="0">
  <autoFilter ref="B47:I74" xr:uid="{52F61665-A5F7-41B5-B10D-44EDDFFB4AD8}"/>
  <tableColumns count="8">
    <tableColumn id="9" xr3:uid="{9DC28AE0-F0CE-4DD1-99BD-01EFC3B07958}" name="産業小分類上位２０"/>
    <tableColumn id="10" xr3:uid="{9C55FC48-7903-490C-B601-294DDFAC566B}" name="総数／事業所数" dataCellStyle="桁区切り"/>
    <tableColumn id="11" xr3:uid="{65E362DB-0309-4D22-B105-69D528A01C7A}" name="総数／構成比" dataDxfId="366"/>
    <tableColumn id="12" xr3:uid="{C8CC6DF2-2BCD-4CE0-9D27-49D3805E798D}" name="個人／事業所数" dataCellStyle="桁区切り"/>
    <tableColumn id="13" xr3:uid="{D35617AE-75DB-43D3-86E4-B6074FC3EF8C}" name="個人／構成比" dataDxfId="365"/>
    <tableColumn id="14" xr3:uid="{0C7A1446-D9F5-4E3B-AA2A-503751C6D446}" name="法人／事業所数" dataCellStyle="桁区切り"/>
    <tableColumn id="15" xr3:uid="{C71D2DC2-7D16-46F8-B573-68E058EE157B}" name="法人／構成比" dataDxfId="364"/>
    <tableColumn id="16" xr3:uid="{DB609068-B91D-44E8-BE35-BC08EE15C605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12DB7BD-5B11-40DF-9E01-94531D8CA22C}" name="LTBL_43403" displayName="LTBL_43403" ref="B4:I20" totalsRowCount="1">
  <autoFilter ref="B4:I19" xr:uid="{612DB7BD-5B11-40DF-9E01-94531D8CA22C}"/>
  <tableColumns count="8">
    <tableColumn id="9" xr3:uid="{84D4CED0-304E-4218-A238-83EFF318BF2F}" name="産業大分類" totalsRowLabel="合計" totalsRowDxfId="363"/>
    <tableColumn id="10" xr3:uid="{A1AD0E0D-72FB-467D-9F9B-6B0798692758}" name="総数／事業所数" totalsRowFunction="custom" totalsRowDxfId="362" dataCellStyle="桁区切り" totalsRowCellStyle="桁区切り">
      <totalsRowFormula>SUM(LTBL_43403[総数／事業所数])</totalsRowFormula>
    </tableColumn>
    <tableColumn id="11" xr3:uid="{617DCFB1-8608-4518-8F93-B8D362638609}" name="総数／構成比" dataDxfId="361"/>
    <tableColumn id="12" xr3:uid="{FB2EDA8B-ABEF-4487-ADAA-0C41BCF7717F}" name="個人／事業所数" totalsRowFunction="sum" totalsRowDxfId="360" dataCellStyle="桁区切り" totalsRowCellStyle="桁区切り"/>
    <tableColumn id="13" xr3:uid="{02553E53-51A3-4B1D-A42A-D153E0110780}" name="個人／構成比" dataDxfId="359"/>
    <tableColumn id="14" xr3:uid="{8588892C-19B8-4455-83BB-A6B0F763179F}" name="法人／事業所数" totalsRowFunction="sum" totalsRowDxfId="358" dataCellStyle="桁区切り" totalsRowCellStyle="桁区切り"/>
    <tableColumn id="15" xr3:uid="{3E77BEF8-2BEE-4AF4-BB43-3885357B1629}" name="法人／構成比" dataDxfId="357"/>
    <tableColumn id="16" xr3:uid="{585C2F41-5C0D-4DDD-B29D-951277C97545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AE16859-09F1-457B-B99E-D3E9B0DBD5A3}" name="M_TABLE_43403" displayName="M_TABLE_43403" ref="B23:I43" totalsRowShown="0">
  <autoFilter ref="B23:I43" xr:uid="{6AE16859-09F1-457B-B99E-D3E9B0DBD5A3}"/>
  <tableColumns count="8">
    <tableColumn id="9" xr3:uid="{6B9BB8D8-4A43-42AA-84AE-7282B40F408D}" name="産業中分類上位２０"/>
    <tableColumn id="10" xr3:uid="{492E25D3-DCCE-49EF-9B04-84F963F95894}" name="総数／事業所数" dataCellStyle="桁区切り"/>
    <tableColumn id="11" xr3:uid="{A3B088EC-D8CF-47A9-999D-F2167DA488A7}" name="総数／構成比" dataDxfId="355"/>
    <tableColumn id="12" xr3:uid="{EA1A92F9-ACCC-4FE1-9878-9BDFD4B955CA}" name="個人／事業所数" dataCellStyle="桁区切り"/>
    <tableColumn id="13" xr3:uid="{E8C9CADE-7BFA-42E4-BB88-874F514A2DF0}" name="個人／構成比" dataDxfId="354"/>
    <tableColumn id="14" xr3:uid="{4F5E29C9-DE59-4E86-8D1A-FF1CB7C75BE6}" name="法人／事業所数" dataCellStyle="桁区切り"/>
    <tableColumn id="15" xr3:uid="{82D1FEBC-269D-40F7-A506-1D87C3404A40}" name="法人／構成比" dataDxfId="353"/>
    <tableColumn id="16" xr3:uid="{61F0FFFA-F6AC-4AD0-944E-53BBF41DA83F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D2D9E16-3AD7-4473-85C3-ACB251E75D2A}" name="S_TABLE_43403" displayName="S_TABLE_43403" ref="B46:I69" totalsRowShown="0">
  <autoFilter ref="B46:I69" xr:uid="{8D2D9E16-3AD7-4473-85C3-ACB251E75D2A}"/>
  <tableColumns count="8">
    <tableColumn id="9" xr3:uid="{319CBC9E-D670-4309-AC3D-9DF51ED224A1}" name="産業小分類上位２０"/>
    <tableColumn id="10" xr3:uid="{BEA3CF7B-05BE-4D70-8F88-75BD64F7B6F7}" name="総数／事業所数" dataCellStyle="桁区切り"/>
    <tableColumn id="11" xr3:uid="{43FEE230-DF54-49D2-A63F-004F44050F51}" name="総数／構成比" dataDxfId="352"/>
    <tableColumn id="12" xr3:uid="{FD8D1B62-33FF-4D5D-8A9A-A01B363E62A4}" name="個人／事業所数" dataCellStyle="桁区切り"/>
    <tableColumn id="13" xr3:uid="{BAFDB6F3-0087-4FCB-AB23-651C3E650BEF}" name="個人／構成比" dataDxfId="351"/>
    <tableColumn id="14" xr3:uid="{D3D043D9-AE58-4611-BF6B-1D09C152FCCE}" name="法人／事業所数" dataCellStyle="桁区切り"/>
    <tableColumn id="15" xr3:uid="{5D09DD2E-89FB-4CAD-B63D-C0A0B08F1155}" name="法人／構成比" dataDxfId="350"/>
    <tableColumn id="16" xr3:uid="{86D7A917-78C5-4797-B9DA-B0C93C6C31E7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FE28136-C8BE-43DE-A847-222ECA8DD9E5}" name="LTBL_43404" displayName="LTBL_43404" ref="B4:I20" totalsRowCount="1">
  <autoFilter ref="B4:I19" xr:uid="{6FE28136-C8BE-43DE-A847-222ECA8DD9E5}"/>
  <tableColumns count="8">
    <tableColumn id="9" xr3:uid="{4844ABF8-3068-4D2B-922F-2E400595C6A7}" name="産業大分類" totalsRowLabel="合計" totalsRowDxfId="349"/>
    <tableColumn id="10" xr3:uid="{48B0B35F-5669-47F3-8D7B-0576D7E1C966}" name="総数／事業所数" totalsRowFunction="custom" totalsRowDxfId="348" dataCellStyle="桁区切り" totalsRowCellStyle="桁区切り">
      <totalsRowFormula>SUM(LTBL_43404[総数／事業所数])</totalsRowFormula>
    </tableColumn>
    <tableColumn id="11" xr3:uid="{7F99726C-4DFA-46F0-B728-7AFB9F8C7281}" name="総数／構成比" dataDxfId="347"/>
    <tableColumn id="12" xr3:uid="{36B3FC15-2AE3-4BA7-ACED-CC984D1017AD}" name="個人／事業所数" totalsRowFunction="sum" totalsRowDxfId="346" dataCellStyle="桁区切り" totalsRowCellStyle="桁区切り"/>
    <tableColumn id="13" xr3:uid="{F397FB68-E97B-4118-B075-4A542CAD0431}" name="個人／構成比" dataDxfId="345"/>
    <tableColumn id="14" xr3:uid="{24E170F4-6E70-4EBC-9891-8BD6A627D58F}" name="法人／事業所数" totalsRowFunction="sum" totalsRowDxfId="344" dataCellStyle="桁区切り" totalsRowCellStyle="桁区切り"/>
    <tableColumn id="15" xr3:uid="{7FCDF885-2607-4041-8298-CC4CCC5BDEFE}" name="法人／構成比" dataDxfId="343"/>
    <tableColumn id="16" xr3:uid="{45F2B402-B593-48DC-9E53-25BE8F3D20E7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B15D8D-21A0-4A15-80E2-3806F5042D3D}" name="M_TABLE_43101" displayName="M_TABLE_43101" ref="B23:I43" totalsRowShown="0">
  <autoFilter ref="B23:I43" xr:uid="{8CB15D8D-21A0-4A15-80E2-3806F5042D3D}"/>
  <tableColumns count="8">
    <tableColumn id="9" xr3:uid="{E5C8D023-4A85-46A9-A770-1DACE6C36FD6}" name="産業中分類上位２０"/>
    <tableColumn id="10" xr3:uid="{728D5E90-A3E1-46DE-9B16-4FB31C25CA8B}" name="総数／事業所数" dataCellStyle="桁区切り"/>
    <tableColumn id="11" xr3:uid="{93D1C47B-FC14-4507-B879-F4A996737DB4}" name="総数／構成比" dataDxfId="677"/>
    <tableColumn id="12" xr3:uid="{4366B6BB-1E1E-44A6-9D99-FF454406B1A3}" name="個人／事業所数" dataCellStyle="桁区切り"/>
    <tableColumn id="13" xr3:uid="{F7DECCA8-D597-4C0E-B2E2-FF9E65DF06FB}" name="個人／構成比" dataDxfId="676"/>
    <tableColumn id="14" xr3:uid="{6B4C7CC7-4188-4A29-A351-CAF51CEE46B8}" name="法人／事業所数" dataCellStyle="桁区切り"/>
    <tableColumn id="15" xr3:uid="{72E64C5C-96C0-4E96-A773-AFE78E753ED0}" name="法人／構成比" dataDxfId="675"/>
    <tableColumn id="16" xr3:uid="{B4D1CD7F-8257-4863-AE1B-AB034138DEFD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48ECAFB-8AAF-4C24-B12E-1B42D98593CC}" name="M_TABLE_43404" displayName="M_TABLE_43404" ref="B23:I44" totalsRowShown="0">
  <autoFilter ref="B23:I44" xr:uid="{F48ECAFB-8AAF-4C24-B12E-1B42D98593CC}"/>
  <tableColumns count="8">
    <tableColumn id="9" xr3:uid="{A4F95EB8-0111-4CE4-B26F-00F3B615611E}" name="産業中分類上位２０"/>
    <tableColumn id="10" xr3:uid="{AD8A92FF-2E89-42B9-AD3A-5D1757E28197}" name="総数／事業所数" dataCellStyle="桁区切り"/>
    <tableColumn id="11" xr3:uid="{517E11F3-4615-4C1D-BEEA-C5C6D4D75EF6}" name="総数／構成比" dataDxfId="341"/>
    <tableColumn id="12" xr3:uid="{122E357F-EFC0-459F-99B3-1E07B691085C}" name="個人／事業所数" dataCellStyle="桁区切り"/>
    <tableColumn id="13" xr3:uid="{DA6BFFDB-A5AA-41FB-B403-3958452846CE}" name="個人／構成比" dataDxfId="340"/>
    <tableColumn id="14" xr3:uid="{0A30AEE7-36DE-4A15-B091-9360AFEAE2E1}" name="法人／事業所数" dataCellStyle="桁区切り"/>
    <tableColumn id="15" xr3:uid="{8CC7041D-5187-4B64-B168-AD0BBB0C1F1C}" name="法人／構成比" dataDxfId="339"/>
    <tableColumn id="16" xr3:uid="{9DE02A1B-42D5-4446-AF63-443A3B23A1FB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8B55F27-C847-4678-B20B-4B66E6FC67EF}" name="S_TABLE_43404" displayName="S_TABLE_43404" ref="B47:I68" totalsRowShown="0">
  <autoFilter ref="B47:I68" xr:uid="{D8B55F27-C847-4678-B20B-4B66E6FC67EF}"/>
  <tableColumns count="8">
    <tableColumn id="9" xr3:uid="{2E534671-B383-450E-A3E4-C87B14E28413}" name="産業小分類上位２０"/>
    <tableColumn id="10" xr3:uid="{A15FD32E-BCB0-4F35-BC6E-D6AB7C17CA25}" name="総数／事業所数" dataCellStyle="桁区切り"/>
    <tableColumn id="11" xr3:uid="{D8182D34-49C0-43E8-8B83-6F8DD5A77283}" name="総数／構成比" dataDxfId="338"/>
    <tableColumn id="12" xr3:uid="{7688DD34-FF8F-48C8-89F8-72F2CC3926E2}" name="個人／事業所数" dataCellStyle="桁区切り"/>
    <tableColumn id="13" xr3:uid="{5359F274-2778-4D5D-94D9-4A1F1C7A0925}" name="個人／構成比" dataDxfId="337"/>
    <tableColumn id="14" xr3:uid="{8E214D5F-F71D-4909-B4C2-D417C8FDDCFE}" name="法人／事業所数" dataCellStyle="桁区切り"/>
    <tableColumn id="15" xr3:uid="{B5CC3478-D33A-47B1-860D-2C7D6AF7C49B}" name="法人／構成比" dataDxfId="336"/>
    <tableColumn id="16" xr3:uid="{6485EAB7-2B9E-4DA7-9191-9A7200F75275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DA07C66-91ED-45ED-81DB-F323DCBB16AF}" name="LTBL_43423" displayName="LTBL_43423" ref="B4:I20" totalsRowCount="1">
  <autoFilter ref="B4:I19" xr:uid="{ADA07C66-91ED-45ED-81DB-F323DCBB16AF}"/>
  <tableColumns count="8">
    <tableColumn id="9" xr3:uid="{795CF30B-B475-4004-B435-FF67F515E113}" name="産業大分類" totalsRowLabel="合計" totalsRowDxfId="335"/>
    <tableColumn id="10" xr3:uid="{5CE62FE6-BD5B-4256-A386-B69D4F211155}" name="総数／事業所数" totalsRowFunction="custom" totalsRowDxfId="334" dataCellStyle="桁区切り" totalsRowCellStyle="桁区切り">
      <totalsRowFormula>SUM(LTBL_43423[総数／事業所数])</totalsRowFormula>
    </tableColumn>
    <tableColumn id="11" xr3:uid="{3E160597-8194-475E-9498-18B86741EED4}" name="総数／構成比" dataDxfId="333"/>
    <tableColumn id="12" xr3:uid="{99D4562E-AEC8-4B29-A986-A98A328BB1A6}" name="個人／事業所数" totalsRowFunction="sum" totalsRowDxfId="332" dataCellStyle="桁区切り" totalsRowCellStyle="桁区切り"/>
    <tableColumn id="13" xr3:uid="{D6D405E7-3A41-4189-B4F4-724094A403D7}" name="個人／構成比" dataDxfId="331"/>
    <tableColumn id="14" xr3:uid="{4962AF72-B980-497D-A718-C544D64C228E}" name="法人／事業所数" totalsRowFunction="sum" totalsRowDxfId="330" dataCellStyle="桁区切り" totalsRowCellStyle="桁区切り"/>
    <tableColumn id="15" xr3:uid="{0AB5A325-A09E-4686-97F9-099B279F70FA}" name="法人／構成比" dataDxfId="329"/>
    <tableColumn id="16" xr3:uid="{B81D4A2C-EE42-439F-A1CD-AB1D2CC63EA8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A7CE962B-3AE9-4414-AB98-64E592357C71}" name="M_TABLE_43423" displayName="M_TABLE_43423" ref="B23:I55" totalsRowShown="0">
  <autoFilter ref="B23:I55" xr:uid="{A7CE962B-3AE9-4414-AB98-64E592357C71}"/>
  <tableColumns count="8">
    <tableColumn id="9" xr3:uid="{38C9D33B-BB28-4025-B66B-CF3F369195A4}" name="産業中分類上位２０"/>
    <tableColumn id="10" xr3:uid="{6F141012-F3B2-40FF-BE6E-90012E3F0DC7}" name="総数／事業所数" dataCellStyle="桁区切り"/>
    <tableColumn id="11" xr3:uid="{DC965C35-A957-467E-9D6F-15ED9ACD1794}" name="総数／構成比" dataDxfId="327"/>
    <tableColumn id="12" xr3:uid="{E4860BE6-3AD4-4E50-B40F-BFF135F21595}" name="個人／事業所数" dataCellStyle="桁区切り"/>
    <tableColumn id="13" xr3:uid="{EF93094E-AAB2-486D-9B4A-311E048A1C32}" name="個人／構成比" dataDxfId="326"/>
    <tableColumn id="14" xr3:uid="{F24FAAC9-636E-453D-AF27-11BCAFC0CBDA}" name="法人／事業所数" dataCellStyle="桁区切り"/>
    <tableColumn id="15" xr3:uid="{7BD9BBE4-E825-47EE-ADC4-19BD7BFD70C7}" name="法人／構成比" dataDxfId="325"/>
    <tableColumn id="16" xr3:uid="{A343A8FC-8CEF-4C00-8398-AF0853CD5676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F9DDFE4-0B5D-4F73-A142-FA3B4622031B}" name="S_TABLE_43423" displayName="S_TABLE_43423" ref="B58:I86" totalsRowShown="0">
  <autoFilter ref="B58:I86" xr:uid="{DF9DDFE4-0B5D-4F73-A142-FA3B4622031B}"/>
  <tableColumns count="8">
    <tableColumn id="9" xr3:uid="{AD00B7AB-5FCF-48A8-BA41-CBB8E913C58F}" name="産業小分類上位２０"/>
    <tableColumn id="10" xr3:uid="{E7B9823D-ED30-48ED-A2A6-84A9CE2E7CCA}" name="総数／事業所数" dataCellStyle="桁区切り"/>
    <tableColumn id="11" xr3:uid="{54EB49EB-5B14-4058-A144-9260DF8D49ED}" name="総数／構成比" dataDxfId="324"/>
    <tableColumn id="12" xr3:uid="{7066B235-C373-41FA-A214-1C94497C3DF3}" name="個人／事業所数" dataCellStyle="桁区切り"/>
    <tableColumn id="13" xr3:uid="{5C85FA07-6595-483C-B978-CF17F0BEDE93}" name="個人／構成比" dataDxfId="323"/>
    <tableColumn id="14" xr3:uid="{99668895-0F49-4019-8824-5238A7069B0E}" name="法人／事業所数" dataCellStyle="桁区切り"/>
    <tableColumn id="15" xr3:uid="{20707E89-62F1-4C02-8D16-D14828FE0398}" name="法人／構成比" dataDxfId="322"/>
    <tableColumn id="16" xr3:uid="{3C9A8608-5ECC-42C2-8448-481365AED2C2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0C6CB7E-98AD-48D4-ABF9-5AA82D9DFACA}" name="LTBL_43424" displayName="LTBL_43424" ref="B4:I20" totalsRowCount="1">
  <autoFilter ref="B4:I19" xr:uid="{F0C6CB7E-98AD-48D4-ABF9-5AA82D9DFACA}"/>
  <tableColumns count="8">
    <tableColumn id="9" xr3:uid="{B9980EB4-7DB1-43D7-902E-6D744CAD6F0B}" name="産業大分類" totalsRowLabel="合計" totalsRowDxfId="321"/>
    <tableColumn id="10" xr3:uid="{F5F5DAA3-EC0E-4F8F-8ACB-ED4EB9CBDB30}" name="総数／事業所数" totalsRowFunction="custom" totalsRowDxfId="320" dataCellStyle="桁区切り" totalsRowCellStyle="桁区切り">
      <totalsRowFormula>SUM(LTBL_43424[総数／事業所数])</totalsRowFormula>
    </tableColumn>
    <tableColumn id="11" xr3:uid="{68058246-E0CF-4A6A-80CA-35DF9852E11E}" name="総数／構成比" dataDxfId="319"/>
    <tableColumn id="12" xr3:uid="{C395CB5B-855A-411D-A15B-836C6C4619EB}" name="個人／事業所数" totalsRowFunction="sum" totalsRowDxfId="318" dataCellStyle="桁区切り" totalsRowCellStyle="桁区切り"/>
    <tableColumn id="13" xr3:uid="{E3BB3262-551C-4054-8312-F06AA7028CA9}" name="個人／構成比" dataDxfId="317"/>
    <tableColumn id="14" xr3:uid="{5117A2AA-6845-4E70-B496-0307C8E74E77}" name="法人／事業所数" totalsRowFunction="sum" totalsRowDxfId="316" dataCellStyle="桁区切り" totalsRowCellStyle="桁区切り"/>
    <tableColumn id="15" xr3:uid="{D1D5615A-0C63-4FEB-BC5D-182DB6D13173}" name="法人／構成比" dataDxfId="315"/>
    <tableColumn id="16" xr3:uid="{2F480908-1169-4274-9D7B-51BC31D20DB4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81D007B0-F8FF-41EF-88D4-3CD7E4D5D6E7}" name="M_TABLE_43424" displayName="M_TABLE_43424" ref="B23:I46" totalsRowShown="0">
  <autoFilter ref="B23:I46" xr:uid="{81D007B0-F8FF-41EF-88D4-3CD7E4D5D6E7}"/>
  <tableColumns count="8">
    <tableColumn id="9" xr3:uid="{26280D3B-2B57-45A7-96EA-D9F3BD0C001A}" name="産業中分類上位２０"/>
    <tableColumn id="10" xr3:uid="{D934B578-BE97-41E1-8173-25AD0B0717EC}" name="総数／事業所数" dataCellStyle="桁区切り"/>
    <tableColumn id="11" xr3:uid="{48600F7F-F8A4-4D09-9F3A-4186C370028D}" name="総数／構成比" dataDxfId="313"/>
    <tableColumn id="12" xr3:uid="{A2A50B37-9C8D-4C27-B757-F3F940712ACD}" name="個人／事業所数" dataCellStyle="桁区切り"/>
    <tableColumn id="13" xr3:uid="{9BF71D8D-DB28-41ED-A560-39E32A55C0C8}" name="個人／構成比" dataDxfId="312"/>
    <tableColumn id="14" xr3:uid="{D06E49B5-C43C-40C4-8960-75C8C4660598}" name="法人／事業所数" dataCellStyle="桁区切り"/>
    <tableColumn id="15" xr3:uid="{CE03D581-47B5-48C7-89F5-2B7D8C6DF8BF}" name="法人／構成比" dataDxfId="311"/>
    <tableColumn id="16" xr3:uid="{20C0AA3E-5C7C-4DD0-AD42-C30184CC145F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6F3046B-156C-459D-9FA9-57918FE7E9CE}" name="S_TABLE_43424" displayName="S_TABLE_43424" ref="B49:I71" totalsRowShown="0">
  <autoFilter ref="B49:I71" xr:uid="{56F3046B-156C-459D-9FA9-57918FE7E9CE}"/>
  <tableColumns count="8">
    <tableColumn id="9" xr3:uid="{1302C02A-3FE4-4AC0-8E5B-DB6E8B5D9B2A}" name="産業小分類上位２０"/>
    <tableColumn id="10" xr3:uid="{E40C8752-CFBF-4E61-BEC2-745C6811BBDB}" name="総数／事業所数" dataCellStyle="桁区切り"/>
    <tableColumn id="11" xr3:uid="{0329BBB9-40C6-44FF-AD23-8E2D1F52533F}" name="総数／構成比" dataDxfId="310"/>
    <tableColumn id="12" xr3:uid="{26B06774-DDD4-43C1-AEC3-E64293C9B8C4}" name="個人／事業所数" dataCellStyle="桁区切り"/>
    <tableColumn id="13" xr3:uid="{B786560B-22BA-4975-8EBF-AFCB58725758}" name="個人／構成比" dataDxfId="309"/>
    <tableColumn id="14" xr3:uid="{1F755013-22A6-4619-B645-36EE82E3A4A1}" name="法人／事業所数" dataCellStyle="桁区切り"/>
    <tableColumn id="15" xr3:uid="{9536630A-A15B-456B-BF28-28A639E5F713}" name="法人／構成比" dataDxfId="308"/>
    <tableColumn id="16" xr3:uid="{C9951B2B-34F6-40C8-9B63-B1CA723AFBE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ED0E910D-68B9-4999-B534-C31DFD82FCE4}" name="LTBL_43425" displayName="LTBL_43425" ref="B4:I20" totalsRowCount="1">
  <autoFilter ref="B4:I19" xr:uid="{ED0E910D-68B9-4999-B534-C31DFD82FCE4}"/>
  <tableColumns count="8">
    <tableColumn id="9" xr3:uid="{E7039C4A-6567-411C-8158-A9C6F7BADEE8}" name="産業大分類" totalsRowLabel="合計" totalsRowDxfId="307"/>
    <tableColumn id="10" xr3:uid="{FAE1B301-1D64-46C0-A0D8-B2E38EE33359}" name="総数／事業所数" totalsRowFunction="custom" totalsRowDxfId="306" dataCellStyle="桁区切り" totalsRowCellStyle="桁区切り">
      <totalsRowFormula>SUM(LTBL_43425[総数／事業所数])</totalsRowFormula>
    </tableColumn>
    <tableColumn id="11" xr3:uid="{0EE7869E-E479-41C5-94F5-B86B9F31C952}" name="総数／構成比" dataDxfId="305"/>
    <tableColumn id="12" xr3:uid="{E2BE7244-1B68-4B51-8F0D-7B4BC1E4E8D5}" name="個人／事業所数" totalsRowFunction="sum" totalsRowDxfId="304" dataCellStyle="桁区切り" totalsRowCellStyle="桁区切り"/>
    <tableColumn id="13" xr3:uid="{114CD211-E3BC-406C-AE3C-BECEB8A92076}" name="個人／構成比" dataDxfId="303"/>
    <tableColumn id="14" xr3:uid="{73E3BBD3-BE66-43B0-823B-951BA40B9F1F}" name="法人／事業所数" totalsRowFunction="sum" totalsRowDxfId="302" dataCellStyle="桁区切り" totalsRowCellStyle="桁区切り"/>
    <tableColumn id="15" xr3:uid="{D6E8B023-5456-428F-83AF-456203AD5F9C}" name="法人／構成比" dataDxfId="301"/>
    <tableColumn id="16" xr3:uid="{EC75AD23-1315-4AD0-9A03-C9B22B485586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CF92BA2-0FD9-4C48-B24E-50197BA8583A}" name="M_TABLE_43425" displayName="M_TABLE_43425" ref="B23:I42" totalsRowShown="0">
  <autoFilter ref="B23:I42" xr:uid="{6CF92BA2-0FD9-4C48-B24E-50197BA8583A}"/>
  <tableColumns count="8">
    <tableColumn id="9" xr3:uid="{9A576586-7111-477B-9AD9-E4D18C19507F}" name="産業中分類上位２０"/>
    <tableColumn id="10" xr3:uid="{35B11D6B-8106-4EEA-AE4A-DA32241695C3}" name="総数／事業所数" dataCellStyle="桁区切り"/>
    <tableColumn id="11" xr3:uid="{AE7E5231-4B68-4728-B2A7-5B9AD3F63F30}" name="総数／構成比" dataDxfId="299"/>
    <tableColumn id="12" xr3:uid="{056892C3-40C4-4459-A4CE-2D63EDF5091E}" name="個人／事業所数" dataCellStyle="桁区切り"/>
    <tableColumn id="13" xr3:uid="{AE097B2E-F9E5-4B7E-9EB8-EC435A401217}" name="個人／構成比" dataDxfId="298"/>
    <tableColumn id="14" xr3:uid="{A7F6CA09-31BB-4CA6-B597-37F6A9501AC0}" name="法人／事業所数" dataCellStyle="桁区切り"/>
    <tableColumn id="15" xr3:uid="{B955BE6C-E8CD-4E3B-BEEC-7212B18C826F}" name="法人／構成比" dataDxfId="297"/>
    <tableColumn id="16" xr3:uid="{47B29404-7A09-47B0-B002-CE9782BECF9E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D32D47A-0D52-4A1B-86A6-37ABE5AD9592}" name="S_TABLE_43101" displayName="S_TABLE_43101" ref="B46:I67" totalsRowShown="0">
  <autoFilter ref="B46:I67" xr:uid="{3D32D47A-0D52-4A1B-86A6-37ABE5AD9592}"/>
  <tableColumns count="8">
    <tableColumn id="9" xr3:uid="{7BDFD48E-0EA6-4A06-919E-37C18B7B5332}" name="産業小分類上位２０"/>
    <tableColumn id="10" xr3:uid="{4A2F8D6E-00C6-4479-9282-934F08052DA1}" name="総数／事業所数" dataCellStyle="桁区切り"/>
    <tableColumn id="11" xr3:uid="{F80F2617-5612-469C-8F5F-7980911A4040}" name="総数／構成比" dataDxfId="674"/>
    <tableColumn id="12" xr3:uid="{D6FEB8EE-F4BA-4DFE-BA4F-00E5ACAFD3B0}" name="個人／事業所数" dataCellStyle="桁区切り"/>
    <tableColumn id="13" xr3:uid="{64569A59-554B-48D2-B59D-8ABEBF07C92E}" name="個人／構成比" dataDxfId="673"/>
    <tableColumn id="14" xr3:uid="{51C03914-50A7-47DB-B31E-E0FED43B119B}" name="法人／事業所数" dataCellStyle="桁区切り"/>
    <tableColumn id="15" xr3:uid="{2795142C-8B11-4DC1-993E-CDC40CC7A700}" name="法人／構成比" dataDxfId="672"/>
    <tableColumn id="16" xr3:uid="{5ADE7371-B3B2-4C6F-A66A-800671FDA6D3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04B4C09-AD5F-4EA6-B5AA-88507379D01F}" name="S_TABLE_43425" displayName="S_TABLE_43425" ref="B45:I74" totalsRowShown="0">
  <autoFilter ref="B45:I74" xr:uid="{304B4C09-AD5F-4EA6-B5AA-88507379D01F}"/>
  <tableColumns count="8">
    <tableColumn id="9" xr3:uid="{2BE4EC52-CD5A-4FF9-9DDF-30F0FC959A84}" name="産業小分類上位２０"/>
    <tableColumn id="10" xr3:uid="{49E2EE46-8C6A-4F09-86FF-DCB02A55DE60}" name="総数／事業所数" dataCellStyle="桁区切り"/>
    <tableColumn id="11" xr3:uid="{8BE61B57-7585-415E-A30F-D83EC2C1749B}" name="総数／構成比" dataDxfId="296"/>
    <tableColumn id="12" xr3:uid="{BD193F1E-3067-4DB6-8183-418CC1DA25A8}" name="個人／事業所数" dataCellStyle="桁区切り"/>
    <tableColumn id="13" xr3:uid="{20286EAD-DBC6-418A-9059-05AFC1FA1888}" name="個人／構成比" dataDxfId="295"/>
    <tableColumn id="14" xr3:uid="{520699B3-44D9-41DD-9D6E-4A57BBBB7CC4}" name="法人／事業所数" dataCellStyle="桁区切り"/>
    <tableColumn id="15" xr3:uid="{9EABB30B-F0A2-4B2F-8CD7-78B7326D74B8}" name="法人／構成比" dataDxfId="294"/>
    <tableColumn id="16" xr3:uid="{D600CD4E-DD23-4E26-9AC2-9C2A48709968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62FEA566-F37C-429F-B7CE-7BE5AF961D25}" name="LTBL_43428" displayName="LTBL_43428" ref="B4:I20" totalsRowCount="1">
  <autoFilter ref="B4:I19" xr:uid="{62FEA566-F37C-429F-B7CE-7BE5AF961D25}"/>
  <tableColumns count="8">
    <tableColumn id="9" xr3:uid="{6F0FFE70-2197-448C-9B62-31BAFF50AAED}" name="産業大分類" totalsRowLabel="合計" totalsRowDxfId="293"/>
    <tableColumn id="10" xr3:uid="{6F7938AD-6001-4CA5-80C8-984D7BE0F690}" name="総数／事業所数" totalsRowFunction="custom" totalsRowDxfId="292" dataCellStyle="桁区切り" totalsRowCellStyle="桁区切り">
      <totalsRowFormula>SUM(LTBL_43428[総数／事業所数])</totalsRowFormula>
    </tableColumn>
    <tableColumn id="11" xr3:uid="{3DA436B4-63D5-410E-8C3D-3CA4DE8425C6}" name="総数／構成比" dataDxfId="291"/>
    <tableColumn id="12" xr3:uid="{8ED98821-351D-49A9-B4A2-C4DC66CCF13D}" name="個人／事業所数" totalsRowFunction="sum" totalsRowDxfId="290" dataCellStyle="桁区切り" totalsRowCellStyle="桁区切り"/>
    <tableColumn id="13" xr3:uid="{36960886-DDA0-4948-9FEA-B0DECD3699C5}" name="個人／構成比" dataDxfId="289"/>
    <tableColumn id="14" xr3:uid="{B39499A7-8FFF-4B00-A314-E2FBB1220F8E}" name="法人／事業所数" totalsRowFunction="sum" totalsRowDxfId="288" dataCellStyle="桁区切り" totalsRowCellStyle="桁区切り"/>
    <tableColumn id="15" xr3:uid="{3388C51E-87D8-4EC2-805A-ED245B6AC47D}" name="法人／構成比" dataDxfId="287"/>
    <tableColumn id="16" xr3:uid="{4D26A192-5017-4481-BE93-AFE16EF33EED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525BA735-218E-44E8-819D-078B8A73C84A}" name="M_TABLE_43428" displayName="M_TABLE_43428" ref="B23:I44" totalsRowShown="0">
  <autoFilter ref="B23:I44" xr:uid="{525BA735-218E-44E8-819D-078B8A73C84A}"/>
  <tableColumns count="8">
    <tableColumn id="9" xr3:uid="{9AD9DC49-08B5-4B83-ABF4-9FE897048158}" name="産業中分類上位２０"/>
    <tableColumn id="10" xr3:uid="{223A587C-A039-4F73-AB52-0A35BFFA2111}" name="総数／事業所数" dataCellStyle="桁区切り"/>
    <tableColumn id="11" xr3:uid="{8A41DB27-DBDB-4542-B5DD-6F8D00DFA98F}" name="総数／構成比" dataDxfId="285"/>
    <tableColumn id="12" xr3:uid="{34C3A91F-F9FE-42A0-998B-9E1CE6F04C7F}" name="個人／事業所数" dataCellStyle="桁区切り"/>
    <tableColumn id="13" xr3:uid="{DFD5BBDA-D7AA-4363-94E4-D40284BC2E7B}" name="個人／構成比" dataDxfId="284"/>
    <tableColumn id="14" xr3:uid="{2B83B81A-C1E4-4CF2-BE30-A0BB16790AD3}" name="法人／事業所数" dataCellStyle="桁区切り"/>
    <tableColumn id="15" xr3:uid="{E35D8F3F-EA2E-4D0C-9F7D-83D1C8E273E6}" name="法人／構成比" dataDxfId="283"/>
    <tableColumn id="16" xr3:uid="{DF237E7E-F967-471F-B3A6-630B8F84AFB0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16BBACB-BCD1-4652-A64E-FDFCD7B764BC}" name="S_TABLE_43428" displayName="S_TABLE_43428" ref="B47:I73" totalsRowShown="0">
  <autoFilter ref="B47:I73" xr:uid="{916BBACB-BCD1-4652-A64E-FDFCD7B764BC}"/>
  <tableColumns count="8">
    <tableColumn id="9" xr3:uid="{D78965A6-F731-4419-AF3E-5938D4F3303B}" name="産業小分類上位２０"/>
    <tableColumn id="10" xr3:uid="{999B120C-31B7-4C33-BB63-3878C00B6407}" name="総数／事業所数" dataCellStyle="桁区切り"/>
    <tableColumn id="11" xr3:uid="{015E6C00-1A69-4CA7-93C0-F1CA0AFA6E48}" name="総数／構成比" dataDxfId="282"/>
    <tableColumn id="12" xr3:uid="{DF4BE384-CCC5-420B-AD51-9369DB9A2FBC}" name="個人／事業所数" dataCellStyle="桁区切り"/>
    <tableColumn id="13" xr3:uid="{5A0D0894-5391-4CAD-87E8-404751E2795D}" name="個人／構成比" dataDxfId="281"/>
    <tableColumn id="14" xr3:uid="{17AF7F53-A7DE-4393-BB98-521C9FEA3179}" name="法人／事業所数" dataCellStyle="桁区切り"/>
    <tableColumn id="15" xr3:uid="{3F8838FC-4306-43FE-A82B-D8C4EA8BA9D8}" name="法人／構成比" dataDxfId="280"/>
    <tableColumn id="16" xr3:uid="{76DB36C2-43E0-42B3-A08C-1C48E5BF256C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3B99912-BA0E-4C30-BC69-C7B85B545B0D}" name="LTBL_43432" displayName="LTBL_43432" ref="B4:I20" totalsRowCount="1">
  <autoFilter ref="B4:I19" xr:uid="{33B99912-BA0E-4C30-BC69-C7B85B545B0D}"/>
  <tableColumns count="8">
    <tableColumn id="9" xr3:uid="{71A312EF-C5CB-4B95-80FA-B6086B30B413}" name="産業大分類" totalsRowLabel="合計" totalsRowDxfId="279"/>
    <tableColumn id="10" xr3:uid="{EF99E41F-E3C8-43E5-AC8C-A5C49E7E1D4F}" name="総数／事業所数" totalsRowFunction="custom" totalsRowDxfId="278" dataCellStyle="桁区切り" totalsRowCellStyle="桁区切り">
      <totalsRowFormula>SUM(LTBL_43432[総数／事業所数])</totalsRowFormula>
    </tableColumn>
    <tableColumn id="11" xr3:uid="{798C0BC3-F076-4619-B089-E5C414AAAF32}" name="総数／構成比" dataDxfId="277"/>
    <tableColumn id="12" xr3:uid="{5ADA8EA5-1E0B-4ADF-BE97-5B97040E21EF}" name="個人／事業所数" totalsRowFunction="sum" totalsRowDxfId="276" dataCellStyle="桁区切り" totalsRowCellStyle="桁区切り"/>
    <tableColumn id="13" xr3:uid="{CAC0C14B-F2AE-44CA-B6EB-0824F36ED975}" name="個人／構成比" dataDxfId="275"/>
    <tableColumn id="14" xr3:uid="{937E73C0-2DD4-4EE9-8BA1-AF6C7C4E123A}" name="法人／事業所数" totalsRowFunction="sum" totalsRowDxfId="274" dataCellStyle="桁区切り" totalsRowCellStyle="桁区切り"/>
    <tableColumn id="15" xr3:uid="{5C0A9025-146E-46A6-94E1-1556FA3ACE94}" name="法人／構成比" dataDxfId="273"/>
    <tableColumn id="16" xr3:uid="{3CDB9314-E179-4BE3-A467-1EB9D33255AC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51EB3FB-353C-418B-B3BC-2BBB3AE9959B}" name="M_TABLE_43432" displayName="M_TABLE_43432" ref="B23:I49" totalsRowShown="0">
  <autoFilter ref="B23:I49" xr:uid="{F51EB3FB-353C-418B-B3BC-2BBB3AE9959B}"/>
  <tableColumns count="8">
    <tableColumn id="9" xr3:uid="{9C6A8C47-4AA1-43B0-9A31-DB12F90CC7F0}" name="産業中分類上位２０"/>
    <tableColumn id="10" xr3:uid="{2C50B66A-E080-46C8-B6DC-717CD814E439}" name="総数／事業所数" dataCellStyle="桁区切り"/>
    <tableColumn id="11" xr3:uid="{EF19BBA9-9700-460C-9B9B-70EFA865D3B6}" name="総数／構成比" dataDxfId="271"/>
    <tableColumn id="12" xr3:uid="{87B4DFCD-D866-45B6-AB85-1776699E1821}" name="個人／事業所数" dataCellStyle="桁区切り"/>
    <tableColumn id="13" xr3:uid="{502B4EC5-DB94-4BCD-AFF2-144524E9FAB2}" name="個人／構成比" dataDxfId="270"/>
    <tableColumn id="14" xr3:uid="{9CCD9A0C-FC2F-42D0-AEA4-BBE4679B5422}" name="法人／事業所数" dataCellStyle="桁区切り"/>
    <tableColumn id="15" xr3:uid="{AD188374-94CB-43ED-A6B3-F7BD107A78BF}" name="法人／構成比" dataDxfId="269"/>
    <tableColumn id="16" xr3:uid="{895C5E86-A0FC-45EA-A228-C78ADB9D263A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80DEB47B-B992-47C6-8AD3-4DF178300514}" name="S_TABLE_43432" displayName="S_TABLE_43432" ref="B52:I73" totalsRowShown="0">
  <autoFilter ref="B52:I73" xr:uid="{80DEB47B-B992-47C6-8AD3-4DF178300514}"/>
  <tableColumns count="8">
    <tableColumn id="9" xr3:uid="{D3562273-E08F-45A7-B44C-6ECA0A8B7B5C}" name="産業小分類上位２０"/>
    <tableColumn id="10" xr3:uid="{FB059392-96FF-41CB-BD77-496F8AE85959}" name="総数／事業所数" dataCellStyle="桁区切り"/>
    <tableColumn id="11" xr3:uid="{5751D922-6247-48D5-AB61-17BAC9EAB456}" name="総数／構成比" dataDxfId="268"/>
    <tableColumn id="12" xr3:uid="{B482A2DD-D860-43C7-B579-BC2671DA9074}" name="個人／事業所数" dataCellStyle="桁区切り"/>
    <tableColumn id="13" xr3:uid="{D771CBF3-1DCD-4FDB-B1FD-8B6DBBD6B7F0}" name="個人／構成比" dataDxfId="267"/>
    <tableColumn id="14" xr3:uid="{F983A951-958E-4B51-B0C5-FE36FF03ECDD}" name="法人／事業所数" dataCellStyle="桁区切り"/>
    <tableColumn id="15" xr3:uid="{92CA7ADC-FDD0-4F84-9AC0-CB140B7CFE3E}" name="法人／構成比" dataDxfId="266"/>
    <tableColumn id="16" xr3:uid="{91BA8D86-4DA9-476D-96D9-885E697F0F1C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D2CB229E-205D-4EFA-9048-7CB19C09A68A}" name="LTBL_43433" displayName="LTBL_43433" ref="B4:I20" totalsRowCount="1">
  <autoFilter ref="B4:I19" xr:uid="{D2CB229E-205D-4EFA-9048-7CB19C09A68A}"/>
  <tableColumns count="8">
    <tableColumn id="9" xr3:uid="{A805D264-BFA0-40D2-A0B5-90AD82DC3488}" name="産業大分類" totalsRowLabel="合計" totalsRowDxfId="265"/>
    <tableColumn id="10" xr3:uid="{96C4AA37-8C95-4A3A-A550-4081F969DEB8}" name="総数／事業所数" totalsRowFunction="custom" totalsRowDxfId="264" dataCellStyle="桁区切り" totalsRowCellStyle="桁区切り">
      <totalsRowFormula>SUM(LTBL_43433[総数／事業所数])</totalsRowFormula>
    </tableColumn>
    <tableColumn id="11" xr3:uid="{87145A35-ACBF-4031-B20C-EB6DE8BF7675}" name="総数／構成比" dataDxfId="263"/>
    <tableColumn id="12" xr3:uid="{38986CFD-8616-4AFD-B5F9-8477C841D064}" name="個人／事業所数" totalsRowFunction="sum" totalsRowDxfId="262" dataCellStyle="桁区切り" totalsRowCellStyle="桁区切り"/>
    <tableColumn id="13" xr3:uid="{4137FB74-5E1B-437A-9713-2BDF1A32620F}" name="個人／構成比" dataDxfId="261"/>
    <tableColumn id="14" xr3:uid="{6D6ED7B1-1160-4FC8-888D-E8AB1090B0B0}" name="法人／事業所数" totalsRowFunction="sum" totalsRowDxfId="260" dataCellStyle="桁区切り" totalsRowCellStyle="桁区切り"/>
    <tableColumn id="15" xr3:uid="{2EE434D4-CE2A-4087-9D19-ED734E701884}" name="法人／構成比" dataDxfId="259"/>
    <tableColumn id="16" xr3:uid="{0779D689-A878-4F27-B5B0-10768E611FA3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BCCC8E9-9301-42C4-AAC2-C01E74D25194}" name="M_TABLE_43433" displayName="M_TABLE_43433" ref="B23:I43" totalsRowShown="0">
  <autoFilter ref="B23:I43" xr:uid="{FBCCC8E9-9301-42C4-AAC2-C01E74D25194}"/>
  <tableColumns count="8">
    <tableColumn id="9" xr3:uid="{25956BB5-C162-4832-888B-FBD835751BB6}" name="産業中分類上位２０"/>
    <tableColumn id="10" xr3:uid="{BBE9BFF7-32B7-481D-A1AF-BCC06154E53D}" name="総数／事業所数" dataCellStyle="桁区切り"/>
    <tableColumn id="11" xr3:uid="{DA2B2DBF-E462-4B40-88D6-F498D207D88A}" name="総数／構成比" dataDxfId="257"/>
    <tableColumn id="12" xr3:uid="{434E3E83-8F0A-424B-9098-38D3C785D522}" name="個人／事業所数" dataCellStyle="桁区切り"/>
    <tableColumn id="13" xr3:uid="{8B45A56F-E827-429B-A377-789875602647}" name="個人／構成比" dataDxfId="256"/>
    <tableColumn id="14" xr3:uid="{B94C57A4-5F62-4B65-B2FD-FE6240765011}" name="法人／事業所数" dataCellStyle="桁区切り"/>
    <tableColumn id="15" xr3:uid="{2BCA0A71-3355-4FD1-989A-7EDC6F510959}" name="法人／構成比" dataDxfId="255"/>
    <tableColumn id="16" xr3:uid="{4B0352BE-4C18-4496-9742-7B2592992F5B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35CC111-586F-4517-972C-E6A62DBF3070}" name="S_TABLE_43433" displayName="S_TABLE_43433" ref="B46:I69" totalsRowShown="0">
  <autoFilter ref="B46:I69" xr:uid="{335CC111-586F-4517-972C-E6A62DBF3070}"/>
  <tableColumns count="8">
    <tableColumn id="9" xr3:uid="{CCE0FEA5-21F1-49CC-AF74-0F93DE73A3C4}" name="産業小分類上位２０"/>
    <tableColumn id="10" xr3:uid="{DC2A8306-4AF4-432B-B202-ED13F0054B0A}" name="総数／事業所数" dataCellStyle="桁区切り"/>
    <tableColumn id="11" xr3:uid="{06826AE4-8BDE-46B1-8AF4-83ABAB7DCE1A}" name="総数／構成比" dataDxfId="254"/>
    <tableColumn id="12" xr3:uid="{26230C8E-7F46-4A3B-9858-96B1F3F30E94}" name="個人／事業所数" dataCellStyle="桁区切り"/>
    <tableColumn id="13" xr3:uid="{35BE2BF9-E02A-4FA5-BD1C-CBDA6872C7B4}" name="個人／構成比" dataDxfId="253"/>
    <tableColumn id="14" xr3:uid="{1D0E6E72-B52A-44AC-B877-146D4B4D8080}" name="法人／事業所数" dataCellStyle="桁区切り"/>
    <tableColumn id="15" xr3:uid="{B362027E-9BFE-40B2-A2BA-D6C7DAA14094}" name="法人／構成比" dataDxfId="252"/>
    <tableColumn id="16" xr3:uid="{CFC4DF06-AB8D-40A0-B3E0-1AE7B3E6D3AE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3636-6A50-4353-9391-51426ED7A86C}">
  <dimension ref="A1:B55"/>
  <sheetViews>
    <sheetView tabSelected="1" workbookViewId="0"/>
  </sheetViews>
  <sheetFormatPr defaultRowHeight="13.2" x14ac:dyDescent="0.2"/>
  <sheetData>
    <row r="1" spans="1:2" x14ac:dyDescent="0.2">
      <c r="A1" t="s">
        <v>386</v>
      </c>
    </row>
    <row r="2" spans="1:2" x14ac:dyDescent="0.2">
      <c r="B2" s="13" t="s">
        <v>280</v>
      </c>
    </row>
    <row r="3" spans="1:2" x14ac:dyDescent="0.2">
      <c r="B3" s="13" t="s">
        <v>134</v>
      </c>
    </row>
    <row r="4" spans="1:2" x14ac:dyDescent="0.2">
      <c r="B4" s="13" t="s">
        <v>278</v>
      </c>
    </row>
    <row r="5" spans="1:2" x14ac:dyDescent="0.2">
      <c r="B5" s="13" t="s">
        <v>335</v>
      </c>
    </row>
    <row r="6" spans="1:2" x14ac:dyDescent="0.2">
      <c r="B6" s="13" t="s">
        <v>336</v>
      </c>
    </row>
    <row r="7" spans="1:2" x14ac:dyDescent="0.2">
      <c r="B7" s="13" t="s">
        <v>337</v>
      </c>
    </row>
    <row r="8" spans="1:2" x14ac:dyDescent="0.2">
      <c r="B8" s="13" t="s">
        <v>338</v>
      </c>
    </row>
    <row r="9" spans="1:2" x14ac:dyDescent="0.2">
      <c r="B9" s="13" t="s">
        <v>339</v>
      </c>
    </row>
    <row r="10" spans="1:2" x14ac:dyDescent="0.2">
      <c r="B10" s="13" t="s">
        <v>340</v>
      </c>
    </row>
    <row r="11" spans="1:2" x14ac:dyDescent="0.2">
      <c r="B11" s="13" t="s">
        <v>341</v>
      </c>
    </row>
    <row r="12" spans="1:2" x14ac:dyDescent="0.2">
      <c r="B12" s="13" t="s">
        <v>342</v>
      </c>
    </row>
    <row r="13" spans="1:2" x14ac:dyDescent="0.2">
      <c r="B13" s="13" t="s">
        <v>343</v>
      </c>
    </row>
    <row r="14" spans="1:2" x14ac:dyDescent="0.2">
      <c r="B14" s="13" t="s">
        <v>344</v>
      </c>
    </row>
    <row r="15" spans="1:2" x14ac:dyDescent="0.2">
      <c r="B15" s="13" t="s">
        <v>345</v>
      </c>
    </row>
    <row r="16" spans="1:2" x14ac:dyDescent="0.2">
      <c r="B16" s="13" t="s">
        <v>346</v>
      </c>
    </row>
    <row r="17" spans="2:2" x14ac:dyDescent="0.2">
      <c r="B17" s="13" t="s">
        <v>347</v>
      </c>
    </row>
    <row r="18" spans="2:2" x14ac:dyDescent="0.2">
      <c r="B18" s="13" t="s">
        <v>348</v>
      </c>
    </row>
    <row r="19" spans="2:2" x14ac:dyDescent="0.2">
      <c r="B19" s="13" t="s">
        <v>349</v>
      </c>
    </row>
    <row r="20" spans="2:2" x14ac:dyDescent="0.2">
      <c r="B20" s="13" t="s">
        <v>350</v>
      </c>
    </row>
    <row r="21" spans="2:2" x14ac:dyDescent="0.2">
      <c r="B21" s="13" t="s">
        <v>351</v>
      </c>
    </row>
    <row r="22" spans="2:2" x14ac:dyDescent="0.2">
      <c r="B22" s="13" t="s">
        <v>352</v>
      </c>
    </row>
    <row r="23" spans="2:2" x14ac:dyDescent="0.2">
      <c r="B23" s="13" t="s">
        <v>353</v>
      </c>
    </row>
    <row r="24" spans="2:2" x14ac:dyDescent="0.2">
      <c r="B24" s="13" t="s">
        <v>354</v>
      </c>
    </row>
    <row r="25" spans="2:2" x14ac:dyDescent="0.2">
      <c r="B25" s="13" t="s">
        <v>355</v>
      </c>
    </row>
    <row r="26" spans="2:2" x14ac:dyDescent="0.2">
      <c r="B26" s="13" t="s">
        <v>356</v>
      </c>
    </row>
    <row r="27" spans="2:2" x14ac:dyDescent="0.2">
      <c r="B27" s="13" t="s">
        <v>357</v>
      </c>
    </row>
    <row r="28" spans="2:2" x14ac:dyDescent="0.2">
      <c r="B28" s="13" t="s">
        <v>358</v>
      </c>
    </row>
    <row r="29" spans="2:2" x14ac:dyDescent="0.2">
      <c r="B29" s="13" t="s">
        <v>359</v>
      </c>
    </row>
    <row r="30" spans="2:2" x14ac:dyDescent="0.2">
      <c r="B30" s="13" t="s">
        <v>360</v>
      </c>
    </row>
    <row r="31" spans="2:2" x14ac:dyDescent="0.2">
      <c r="B31" s="13" t="s">
        <v>361</v>
      </c>
    </row>
    <row r="32" spans="2:2" x14ac:dyDescent="0.2">
      <c r="B32" s="13" t="s">
        <v>362</v>
      </c>
    </row>
    <row r="33" spans="2:2" x14ac:dyDescent="0.2">
      <c r="B33" s="13" t="s">
        <v>363</v>
      </c>
    </row>
    <row r="34" spans="2:2" x14ac:dyDescent="0.2">
      <c r="B34" s="13" t="s">
        <v>364</v>
      </c>
    </row>
    <row r="35" spans="2:2" x14ac:dyDescent="0.2">
      <c r="B35" s="13" t="s">
        <v>365</v>
      </c>
    </row>
    <row r="36" spans="2:2" x14ac:dyDescent="0.2">
      <c r="B36" s="13" t="s">
        <v>366</v>
      </c>
    </row>
    <row r="37" spans="2:2" x14ac:dyDescent="0.2">
      <c r="B37" s="13" t="s">
        <v>367</v>
      </c>
    </row>
    <row r="38" spans="2:2" x14ac:dyDescent="0.2">
      <c r="B38" s="13" t="s">
        <v>368</v>
      </c>
    </row>
    <row r="39" spans="2:2" x14ac:dyDescent="0.2">
      <c r="B39" s="13" t="s">
        <v>369</v>
      </c>
    </row>
    <row r="40" spans="2:2" x14ac:dyDescent="0.2">
      <c r="B40" s="13" t="s">
        <v>370</v>
      </c>
    </row>
    <row r="41" spans="2:2" x14ac:dyDescent="0.2">
      <c r="B41" s="13" t="s">
        <v>371</v>
      </c>
    </row>
    <row r="42" spans="2:2" x14ac:dyDescent="0.2">
      <c r="B42" s="13" t="s">
        <v>372</v>
      </c>
    </row>
    <row r="43" spans="2:2" x14ac:dyDescent="0.2">
      <c r="B43" s="13" t="s">
        <v>373</v>
      </c>
    </row>
    <row r="44" spans="2:2" x14ac:dyDescent="0.2">
      <c r="B44" s="13" t="s">
        <v>374</v>
      </c>
    </row>
    <row r="45" spans="2:2" x14ac:dyDescent="0.2">
      <c r="B45" s="13" t="s">
        <v>375</v>
      </c>
    </row>
    <row r="46" spans="2:2" x14ac:dyDescent="0.2">
      <c r="B46" s="13" t="s">
        <v>376</v>
      </c>
    </row>
    <row r="47" spans="2:2" x14ac:dyDescent="0.2">
      <c r="B47" s="13" t="s">
        <v>377</v>
      </c>
    </row>
    <row r="48" spans="2:2" x14ac:dyDescent="0.2">
      <c r="B48" s="13" t="s">
        <v>378</v>
      </c>
    </row>
    <row r="49" spans="2:2" x14ac:dyDescent="0.2">
      <c r="B49" s="13" t="s">
        <v>379</v>
      </c>
    </row>
    <row r="50" spans="2:2" x14ac:dyDescent="0.2">
      <c r="B50" s="13" t="s">
        <v>380</v>
      </c>
    </row>
    <row r="51" spans="2:2" x14ac:dyDescent="0.2">
      <c r="B51" s="13" t="s">
        <v>381</v>
      </c>
    </row>
    <row r="52" spans="2:2" x14ac:dyDescent="0.2">
      <c r="B52" s="13" t="s">
        <v>382</v>
      </c>
    </row>
    <row r="53" spans="2:2" x14ac:dyDescent="0.2">
      <c r="B53" s="13" t="s">
        <v>383</v>
      </c>
    </row>
    <row r="54" spans="2:2" x14ac:dyDescent="0.2">
      <c r="B54" s="13" t="s">
        <v>384</v>
      </c>
    </row>
    <row r="55" spans="2:2" x14ac:dyDescent="0.2">
      <c r="B55" s="13" t="s">
        <v>385</v>
      </c>
    </row>
  </sheetData>
  <phoneticPr fontId="1"/>
  <hyperlinks>
    <hyperlink ref="B2" location="'産業大分類'!a1" display="産業大分類" xr:uid="{EA627012-14BD-40A0-9246-A68C0DD11401}"/>
    <hyperlink ref="B3" location="'産業中分類'!a1" display="産業中分類" xr:uid="{CFE992D2-D0A1-496A-82A6-AB21202A43DF}"/>
    <hyperlink ref="B4" location="'産業小分類'!a1" display="産業小分類" xr:uid="{8152A792-99FE-4A0B-BAE2-474808D1D911}"/>
    <hyperlink ref="B5" location="'熊本県'!a1" display="熊本県" xr:uid="{28F5415B-C39F-4ECE-9965-A0DFC01AD41F}"/>
    <hyperlink ref="B6" location="'熊本市'!a1" display="熊本市" xr:uid="{9BE7BDD1-9538-4610-BB33-E93A088FAFA4}"/>
    <hyperlink ref="B7" location="'熊本市中央区'!a1" display="熊本市中央区" xr:uid="{47844226-1FB4-4E85-8552-F9E164C13A8E}"/>
    <hyperlink ref="B8" location="'熊本市東区'!a1" display="熊本市東区" xr:uid="{703241C1-7F31-4D5E-B376-BCB80BAFDD41}"/>
    <hyperlink ref="B9" location="'熊本市西区'!a1" display="熊本市西区" xr:uid="{FF0ABF8C-E787-412B-93E4-1CF81A11320F}"/>
    <hyperlink ref="B10" location="'熊本市南区'!a1" display="熊本市南区" xr:uid="{8277C6F3-ABCE-49E3-B976-57439C4F6183}"/>
    <hyperlink ref="B11" location="'熊本市北区'!a1" display="熊本市北区" xr:uid="{EF7984CF-3C4D-467F-A504-236D80515712}"/>
    <hyperlink ref="B12" location="'八代市'!a1" display="八代市" xr:uid="{46DA59D2-4956-411F-B834-6E1860FB5D56}"/>
    <hyperlink ref="B13" location="'人吉市'!a1" display="人吉市" xr:uid="{44BB3ACF-4A85-4A89-AE74-FDD6C3D241F4}"/>
    <hyperlink ref="B14" location="'荒尾市'!a1" display="荒尾市" xr:uid="{6FC72107-B837-4715-8481-EE8A660F5E2B}"/>
    <hyperlink ref="B15" location="'水俣市'!a1" display="水俣市" xr:uid="{4183DE3F-4B24-4D57-9D24-D5569DC0E025}"/>
    <hyperlink ref="B16" location="'玉名市'!a1" display="玉名市" xr:uid="{EB4ED79A-7B92-4241-915A-6699EC689855}"/>
    <hyperlink ref="B17" location="'山鹿市'!a1" display="山鹿市" xr:uid="{1D748A82-1916-4D3A-8570-7F5F52DC03DF}"/>
    <hyperlink ref="B18" location="'菊池市'!a1" display="菊池市" xr:uid="{FE07CAC0-4899-44B8-9C8C-2F47BD43A18D}"/>
    <hyperlink ref="B19" location="'宇土市'!a1" display="宇土市" xr:uid="{C37F4D59-9DEC-4529-A788-69BB518DB490}"/>
    <hyperlink ref="B20" location="'上天草市'!a1" display="上天草市" xr:uid="{F4FF7E3C-4110-4CF1-93FD-AD1F3049856F}"/>
    <hyperlink ref="B21" location="'宇城市'!a1" display="宇城市" xr:uid="{E75484C2-A028-418B-95BF-B0BE4E1F8749}"/>
    <hyperlink ref="B22" location="'阿蘇市'!a1" display="阿蘇市" xr:uid="{9552DCBE-DFEE-4443-8ADD-643AEA49A671}"/>
    <hyperlink ref="B23" location="'天草市'!a1" display="天草市" xr:uid="{D9FD9669-D1A7-485D-B37E-D54AED3D0862}"/>
    <hyperlink ref="B24" location="'合志市'!a1" display="合志市" xr:uid="{E0EECC7B-9C67-4CE2-9002-B0DA70F37810}"/>
    <hyperlink ref="B25" location="'下益城郡美里町'!a1" display="下益城郡美里町" xr:uid="{729B52E2-887D-4879-B537-4E44D76F76D7}"/>
    <hyperlink ref="B26" location="'玉名郡玉東町'!a1" display="玉名郡玉東町" xr:uid="{5029D7DB-B9F2-4D7A-A548-6A0C69B9B251}"/>
    <hyperlink ref="B27" location="'玉名郡南関町'!a1" display="玉名郡南関町" xr:uid="{4F79D79C-6883-48F5-925A-229F73FC2FC5}"/>
    <hyperlink ref="B28" location="'玉名郡長洲町'!a1" display="玉名郡長洲町" xr:uid="{1968FED0-CD7C-4016-832B-2FABE2E06768}"/>
    <hyperlink ref="B29" location="'玉名郡和水町'!a1" display="玉名郡和水町" xr:uid="{2410D1DC-3901-4EF1-877B-F6D3E95482BF}"/>
    <hyperlink ref="B30" location="'菊池郡大津町'!a1" display="菊池郡大津町" xr:uid="{5534125E-2539-4386-B4D5-DB51156B1FB8}"/>
    <hyperlink ref="B31" location="'菊池郡菊陽町'!a1" display="菊池郡菊陽町" xr:uid="{33C7A13A-DFBB-4815-9C74-57B56342E309}"/>
    <hyperlink ref="B32" location="'阿蘇郡南小国町'!a1" display="阿蘇郡南小国町" xr:uid="{3D4F00FF-4D79-4744-95E4-A493C4EFB10F}"/>
    <hyperlink ref="B33" location="'阿蘇郡小国町'!a1" display="阿蘇郡小国町" xr:uid="{B2B3B162-F2AC-4CC8-9ACA-C3ACE94DD2D1}"/>
    <hyperlink ref="B34" location="'阿蘇郡産山村'!a1" display="阿蘇郡産山村" xr:uid="{D1F6D0BB-93CD-4BA4-96FE-F736C071EECA}"/>
    <hyperlink ref="B35" location="'阿蘇郡高森町'!a1" display="阿蘇郡高森町" xr:uid="{C18EFCB4-7B89-42D8-AD30-B241BDD7F923}"/>
    <hyperlink ref="B36" location="'阿蘇郡西原村'!a1" display="阿蘇郡西原村" xr:uid="{90F47410-E21F-44C3-9ED9-B05AAFFC7D62}"/>
    <hyperlink ref="B37" location="'阿蘇郡南阿蘇村'!a1" display="阿蘇郡南阿蘇村" xr:uid="{E7AFE07C-4BF8-42BB-9209-87FF0C4761A0}"/>
    <hyperlink ref="B38" location="'上益城郡御船町'!a1" display="上益城郡御船町" xr:uid="{FEE8508D-777C-4448-BB86-7A12F52C0C39}"/>
    <hyperlink ref="B39" location="'上益城郡嘉島町'!a1" display="上益城郡嘉島町" xr:uid="{9234CA53-108F-4EC1-A5B7-FCC021887400}"/>
    <hyperlink ref="B40" location="'上益城郡益城町'!a1" display="上益城郡益城町" xr:uid="{29EB1643-1622-458B-A3D6-CA687ED5C96F}"/>
    <hyperlink ref="B41" location="'上益城郡甲佐町'!a1" display="上益城郡甲佐町" xr:uid="{E6C2167E-A88E-4922-AB63-1A7C1D079B30}"/>
    <hyperlink ref="B42" location="'上益城郡山都町'!a1" display="上益城郡山都町" xr:uid="{466BFC47-1437-4DF3-A813-2C0425FB5042}"/>
    <hyperlink ref="B43" location="'八代郡氷川町'!a1" display="八代郡氷川町" xr:uid="{EA28B186-4C97-4349-9A54-2732E5F29DE2}"/>
    <hyperlink ref="B44" location="'葦北郡芦北町'!a1" display="葦北郡芦北町" xr:uid="{CDD2C5FD-2DCA-4D14-ABB6-49AB86F5DFEA}"/>
    <hyperlink ref="B45" location="'葦北郡津奈木町'!a1" display="葦北郡津奈木町" xr:uid="{21A1215D-B6DE-436D-A18E-0A34410915EE}"/>
    <hyperlink ref="B46" location="'球磨郡錦町'!a1" display="球磨郡錦町" xr:uid="{BF55CA6E-57E6-4416-8203-68AA1EED61E7}"/>
    <hyperlink ref="B47" location="'球磨郡多良木町'!a1" display="球磨郡多良木町" xr:uid="{C2BBC76F-279B-4B43-85D5-3CCFACB4D988}"/>
    <hyperlink ref="B48" location="'球磨郡湯前町'!a1" display="球磨郡湯前町" xr:uid="{A653764F-9C61-426B-BE15-C2621A67978B}"/>
    <hyperlink ref="B49" location="'球磨郡水上村'!a1" display="球磨郡水上村" xr:uid="{7789C4C0-1C15-4E0E-AA84-38E83A5A8822}"/>
    <hyperlink ref="B50" location="'球磨郡相良村'!a1" display="球磨郡相良村" xr:uid="{42909D25-67FE-4081-8ED7-8E858D6EC42C}"/>
    <hyperlink ref="B51" location="'球磨郡五木村'!a1" display="球磨郡五木村" xr:uid="{AFD4B3AA-CDC0-4A13-9CF9-30F1226C77F5}"/>
    <hyperlink ref="B52" location="'球磨郡山江村'!a1" display="球磨郡山江村" xr:uid="{F461A0FD-3D92-4E74-923F-4A72C86DAF10}"/>
    <hyperlink ref="B53" location="'球磨郡球磨村'!a1" display="球磨郡球磨村" xr:uid="{F53F5981-A8A0-4767-B7DD-6EC886112DAB}"/>
    <hyperlink ref="B54" location="'球磨郡あさぎり町'!a1" display="球磨郡あさぎり町" xr:uid="{021E9614-0582-48B6-8B13-768D2616F331}"/>
    <hyperlink ref="B55" location="'天草郡苓北町'!a1" display="天草郡苓北町" xr:uid="{3FCF2AFE-3AFF-43A8-B637-4B115DD850C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1407-6FD7-4D11-8E2D-5CF4230CCB9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3</v>
      </c>
      <c r="D5" s="8">
        <v>0.12</v>
      </c>
      <c r="E5" s="12">
        <v>0</v>
      </c>
      <c r="F5" s="8">
        <v>0</v>
      </c>
      <c r="G5" s="12">
        <v>3</v>
      </c>
      <c r="H5" s="8">
        <v>0.21</v>
      </c>
      <c r="I5" s="12">
        <v>0</v>
      </c>
    </row>
    <row r="6" spans="2:9" ht="15" customHeight="1" x14ac:dyDescent="0.2">
      <c r="B6" t="s">
        <v>52</v>
      </c>
      <c r="C6" s="12">
        <v>443</v>
      </c>
      <c r="D6" s="8">
        <v>18.059999999999999</v>
      </c>
      <c r="E6" s="12">
        <v>100</v>
      </c>
      <c r="F6" s="8">
        <v>10.050000000000001</v>
      </c>
      <c r="G6" s="12">
        <v>343</v>
      </c>
      <c r="H6" s="8">
        <v>23.99</v>
      </c>
      <c r="I6" s="12">
        <v>0</v>
      </c>
    </row>
    <row r="7" spans="2:9" ht="15" customHeight="1" x14ac:dyDescent="0.2">
      <c r="B7" t="s">
        <v>53</v>
      </c>
      <c r="C7" s="12">
        <v>164</v>
      </c>
      <c r="D7" s="8">
        <v>6.69</v>
      </c>
      <c r="E7" s="12">
        <v>47</v>
      </c>
      <c r="F7" s="8">
        <v>4.72</v>
      </c>
      <c r="G7" s="12">
        <v>117</v>
      </c>
      <c r="H7" s="8">
        <v>8.18</v>
      </c>
      <c r="I7" s="12">
        <v>0</v>
      </c>
    </row>
    <row r="8" spans="2:9" ht="15" customHeight="1" x14ac:dyDescent="0.2">
      <c r="B8" t="s">
        <v>54</v>
      </c>
      <c r="C8" s="12">
        <v>17</v>
      </c>
      <c r="D8" s="8">
        <v>0.69</v>
      </c>
      <c r="E8" s="12">
        <v>0</v>
      </c>
      <c r="F8" s="8">
        <v>0</v>
      </c>
      <c r="G8" s="12">
        <v>17</v>
      </c>
      <c r="H8" s="8">
        <v>1.19</v>
      </c>
      <c r="I8" s="12">
        <v>0</v>
      </c>
    </row>
    <row r="9" spans="2:9" ht="15" customHeight="1" x14ac:dyDescent="0.2">
      <c r="B9" t="s">
        <v>55</v>
      </c>
      <c r="C9" s="12">
        <v>17</v>
      </c>
      <c r="D9" s="8">
        <v>0.69</v>
      </c>
      <c r="E9" s="12">
        <v>1</v>
      </c>
      <c r="F9" s="8">
        <v>0.1</v>
      </c>
      <c r="G9" s="12">
        <v>16</v>
      </c>
      <c r="H9" s="8">
        <v>1.1200000000000001</v>
      </c>
      <c r="I9" s="12">
        <v>0</v>
      </c>
    </row>
    <row r="10" spans="2:9" ht="15" customHeight="1" x14ac:dyDescent="0.2">
      <c r="B10" t="s">
        <v>56</v>
      </c>
      <c r="C10" s="12">
        <v>29</v>
      </c>
      <c r="D10" s="8">
        <v>1.18</v>
      </c>
      <c r="E10" s="12">
        <v>14</v>
      </c>
      <c r="F10" s="8">
        <v>1.41</v>
      </c>
      <c r="G10" s="12">
        <v>15</v>
      </c>
      <c r="H10" s="8">
        <v>1.05</v>
      </c>
      <c r="I10" s="12">
        <v>0</v>
      </c>
    </row>
    <row r="11" spans="2:9" ht="15" customHeight="1" x14ac:dyDescent="0.2">
      <c r="B11" t="s">
        <v>57</v>
      </c>
      <c r="C11" s="12">
        <v>584</v>
      </c>
      <c r="D11" s="8">
        <v>23.81</v>
      </c>
      <c r="E11" s="12">
        <v>203</v>
      </c>
      <c r="F11" s="8">
        <v>20.399999999999999</v>
      </c>
      <c r="G11" s="12">
        <v>379</v>
      </c>
      <c r="H11" s="8">
        <v>26.5</v>
      </c>
      <c r="I11" s="12">
        <v>2</v>
      </c>
    </row>
    <row r="12" spans="2:9" ht="15" customHeight="1" x14ac:dyDescent="0.2">
      <c r="B12" t="s">
        <v>58</v>
      </c>
      <c r="C12" s="12">
        <v>23</v>
      </c>
      <c r="D12" s="8">
        <v>0.94</v>
      </c>
      <c r="E12" s="12">
        <v>6</v>
      </c>
      <c r="F12" s="8">
        <v>0.6</v>
      </c>
      <c r="G12" s="12">
        <v>17</v>
      </c>
      <c r="H12" s="8">
        <v>1.19</v>
      </c>
      <c r="I12" s="12">
        <v>0</v>
      </c>
    </row>
    <row r="13" spans="2:9" ht="15" customHeight="1" x14ac:dyDescent="0.2">
      <c r="B13" t="s">
        <v>59</v>
      </c>
      <c r="C13" s="12">
        <v>251</v>
      </c>
      <c r="D13" s="8">
        <v>10.23</v>
      </c>
      <c r="E13" s="12">
        <v>60</v>
      </c>
      <c r="F13" s="8">
        <v>6.03</v>
      </c>
      <c r="G13" s="12">
        <v>190</v>
      </c>
      <c r="H13" s="8">
        <v>13.29</v>
      </c>
      <c r="I13" s="12">
        <v>1</v>
      </c>
    </row>
    <row r="14" spans="2:9" ht="15" customHeight="1" x14ac:dyDescent="0.2">
      <c r="B14" t="s">
        <v>60</v>
      </c>
      <c r="C14" s="12">
        <v>151</v>
      </c>
      <c r="D14" s="8">
        <v>6.16</v>
      </c>
      <c r="E14" s="12">
        <v>67</v>
      </c>
      <c r="F14" s="8">
        <v>6.73</v>
      </c>
      <c r="G14" s="12">
        <v>82</v>
      </c>
      <c r="H14" s="8">
        <v>5.73</v>
      </c>
      <c r="I14" s="12">
        <v>0</v>
      </c>
    </row>
    <row r="15" spans="2:9" ht="15" customHeight="1" x14ac:dyDescent="0.2">
      <c r="B15" t="s">
        <v>61</v>
      </c>
      <c r="C15" s="12">
        <v>120</v>
      </c>
      <c r="D15" s="8">
        <v>4.8899999999999997</v>
      </c>
      <c r="E15" s="12">
        <v>85</v>
      </c>
      <c r="F15" s="8">
        <v>8.5399999999999991</v>
      </c>
      <c r="G15" s="12">
        <v>34</v>
      </c>
      <c r="H15" s="8">
        <v>2.38</v>
      </c>
      <c r="I15" s="12">
        <v>0</v>
      </c>
    </row>
    <row r="16" spans="2:9" ht="15" customHeight="1" x14ac:dyDescent="0.2">
      <c r="B16" t="s">
        <v>62</v>
      </c>
      <c r="C16" s="12">
        <v>303</v>
      </c>
      <c r="D16" s="8">
        <v>12.35</v>
      </c>
      <c r="E16" s="12">
        <v>238</v>
      </c>
      <c r="F16" s="8">
        <v>23.92</v>
      </c>
      <c r="G16" s="12">
        <v>59</v>
      </c>
      <c r="H16" s="8">
        <v>4.13</v>
      </c>
      <c r="I16" s="12">
        <v>0</v>
      </c>
    </row>
    <row r="17" spans="2:9" ht="15" customHeight="1" x14ac:dyDescent="0.2">
      <c r="B17" t="s">
        <v>63</v>
      </c>
      <c r="C17" s="12">
        <v>91</v>
      </c>
      <c r="D17" s="8">
        <v>3.71</v>
      </c>
      <c r="E17" s="12">
        <v>60</v>
      </c>
      <c r="F17" s="8">
        <v>6.03</v>
      </c>
      <c r="G17" s="12">
        <v>30</v>
      </c>
      <c r="H17" s="8">
        <v>2.1</v>
      </c>
      <c r="I17" s="12">
        <v>0</v>
      </c>
    </row>
    <row r="18" spans="2:9" ht="15" customHeight="1" x14ac:dyDescent="0.2">
      <c r="B18" t="s">
        <v>64</v>
      </c>
      <c r="C18" s="12">
        <v>118</v>
      </c>
      <c r="D18" s="8">
        <v>4.8099999999999996</v>
      </c>
      <c r="E18" s="12">
        <v>59</v>
      </c>
      <c r="F18" s="8">
        <v>5.93</v>
      </c>
      <c r="G18" s="12">
        <v>50</v>
      </c>
      <c r="H18" s="8">
        <v>3.5</v>
      </c>
      <c r="I18" s="12">
        <v>0</v>
      </c>
    </row>
    <row r="19" spans="2:9" ht="15" customHeight="1" x14ac:dyDescent="0.2">
      <c r="B19" t="s">
        <v>65</v>
      </c>
      <c r="C19" s="12">
        <v>139</v>
      </c>
      <c r="D19" s="8">
        <v>5.67</v>
      </c>
      <c r="E19" s="12">
        <v>55</v>
      </c>
      <c r="F19" s="8">
        <v>5.53</v>
      </c>
      <c r="G19" s="12">
        <v>78</v>
      </c>
      <c r="H19" s="8">
        <v>5.45</v>
      </c>
      <c r="I19" s="12">
        <v>6</v>
      </c>
    </row>
    <row r="20" spans="2:9" ht="15" customHeight="1" x14ac:dyDescent="0.2">
      <c r="B20" s="9" t="s">
        <v>281</v>
      </c>
      <c r="C20" s="12">
        <f>SUM(LTBL_43104[総数／事業所数])</f>
        <v>2453</v>
      </c>
      <c r="E20" s="12">
        <f>SUBTOTAL(109,LTBL_43104[個人／事業所数])</f>
        <v>995</v>
      </c>
      <c r="G20" s="12">
        <f>SUBTOTAL(109,LTBL_43104[法人／事業所数])</f>
        <v>1430</v>
      </c>
      <c r="I20" s="12">
        <f>SUBTOTAL(109,LTBL_43104[法人以外の団体／事業所数])</f>
        <v>9</v>
      </c>
    </row>
    <row r="21" spans="2:9" ht="15" customHeight="1" x14ac:dyDescent="0.2">
      <c r="E21" s="11">
        <f>LTBL_43104[[#Totals],[個人／事業所数]]/LTBL_43104[[#Totals],[総数／事業所数]]</f>
        <v>0.40562576437015901</v>
      </c>
      <c r="G21" s="11">
        <f>LTBL_43104[[#Totals],[法人／事業所数]]/LTBL_43104[[#Totals],[総数／事業所数]]</f>
        <v>0.5829596412556054</v>
      </c>
      <c r="I21" s="11">
        <f>LTBL_43104[[#Totals],[法人以外の団体／事業所数]]/LTBL_43104[[#Totals],[総数／事業所数]]</f>
        <v>3.6689767631471666E-3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252</v>
      </c>
      <c r="D24" s="8">
        <v>10.27</v>
      </c>
      <c r="E24" s="12">
        <v>212</v>
      </c>
      <c r="F24" s="8">
        <v>21.31</v>
      </c>
      <c r="G24" s="12">
        <v>40</v>
      </c>
      <c r="H24" s="8">
        <v>2.8</v>
      </c>
      <c r="I24" s="12">
        <v>0</v>
      </c>
    </row>
    <row r="25" spans="2:9" ht="15" customHeight="1" x14ac:dyDescent="0.2">
      <c r="B25" t="s">
        <v>74</v>
      </c>
      <c r="C25" s="12">
        <v>188</v>
      </c>
      <c r="D25" s="8">
        <v>7.66</v>
      </c>
      <c r="E25" s="12">
        <v>29</v>
      </c>
      <c r="F25" s="8">
        <v>2.91</v>
      </c>
      <c r="G25" s="12">
        <v>159</v>
      </c>
      <c r="H25" s="8">
        <v>11.12</v>
      </c>
      <c r="I25" s="12">
        <v>0</v>
      </c>
    </row>
    <row r="26" spans="2:9" ht="15" customHeight="1" x14ac:dyDescent="0.2">
      <c r="B26" t="s">
        <v>85</v>
      </c>
      <c r="C26" s="12">
        <v>178</v>
      </c>
      <c r="D26" s="8">
        <v>7.26</v>
      </c>
      <c r="E26" s="12">
        <v>45</v>
      </c>
      <c r="F26" s="8">
        <v>4.5199999999999996</v>
      </c>
      <c r="G26" s="12">
        <v>132</v>
      </c>
      <c r="H26" s="8">
        <v>9.23</v>
      </c>
      <c r="I26" s="12">
        <v>1</v>
      </c>
    </row>
    <row r="27" spans="2:9" ht="15" customHeight="1" x14ac:dyDescent="0.2">
      <c r="B27" t="s">
        <v>83</v>
      </c>
      <c r="C27" s="12">
        <v>158</v>
      </c>
      <c r="D27" s="8">
        <v>6.44</v>
      </c>
      <c r="E27" s="12">
        <v>62</v>
      </c>
      <c r="F27" s="8">
        <v>6.23</v>
      </c>
      <c r="G27" s="12">
        <v>95</v>
      </c>
      <c r="H27" s="8">
        <v>6.64</v>
      </c>
      <c r="I27" s="12">
        <v>1</v>
      </c>
    </row>
    <row r="28" spans="2:9" ht="15" customHeight="1" x14ac:dyDescent="0.2">
      <c r="B28" t="s">
        <v>75</v>
      </c>
      <c r="C28" s="12">
        <v>129</v>
      </c>
      <c r="D28" s="8">
        <v>5.26</v>
      </c>
      <c r="E28" s="12">
        <v>47</v>
      </c>
      <c r="F28" s="8">
        <v>4.72</v>
      </c>
      <c r="G28" s="12">
        <v>82</v>
      </c>
      <c r="H28" s="8">
        <v>5.73</v>
      </c>
      <c r="I28" s="12">
        <v>0</v>
      </c>
    </row>
    <row r="29" spans="2:9" ht="15" customHeight="1" x14ac:dyDescent="0.2">
      <c r="B29" t="s">
        <v>76</v>
      </c>
      <c r="C29" s="12">
        <v>126</v>
      </c>
      <c r="D29" s="8">
        <v>5.14</v>
      </c>
      <c r="E29" s="12">
        <v>24</v>
      </c>
      <c r="F29" s="8">
        <v>2.41</v>
      </c>
      <c r="G29" s="12">
        <v>102</v>
      </c>
      <c r="H29" s="8">
        <v>7.13</v>
      </c>
      <c r="I29" s="12">
        <v>0</v>
      </c>
    </row>
    <row r="30" spans="2:9" ht="15" customHeight="1" x14ac:dyDescent="0.2">
      <c r="B30" t="s">
        <v>88</v>
      </c>
      <c r="C30" s="12">
        <v>101</v>
      </c>
      <c r="D30" s="8">
        <v>4.12</v>
      </c>
      <c r="E30" s="12">
        <v>77</v>
      </c>
      <c r="F30" s="8">
        <v>7.74</v>
      </c>
      <c r="G30" s="12">
        <v>24</v>
      </c>
      <c r="H30" s="8">
        <v>1.68</v>
      </c>
      <c r="I30" s="12">
        <v>0</v>
      </c>
    </row>
    <row r="31" spans="2:9" ht="15" customHeight="1" x14ac:dyDescent="0.2">
      <c r="B31" t="s">
        <v>82</v>
      </c>
      <c r="C31" s="12">
        <v>100</v>
      </c>
      <c r="D31" s="8">
        <v>4.08</v>
      </c>
      <c r="E31" s="12">
        <v>54</v>
      </c>
      <c r="F31" s="8">
        <v>5.43</v>
      </c>
      <c r="G31" s="12">
        <v>46</v>
      </c>
      <c r="H31" s="8">
        <v>3.22</v>
      </c>
      <c r="I31" s="12">
        <v>0</v>
      </c>
    </row>
    <row r="32" spans="2:9" ht="15" customHeight="1" x14ac:dyDescent="0.2">
      <c r="B32" t="s">
        <v>90</v>
      </c>
      <c r="C32" s="12">
        <v>91</v>
      </c>
      <c r="D32" s="8">
        <v>3.71</v>
      </c>
      <c r="E32" s="12">
        <v>60</v>
      </c>
      <c r="F32" s="8">
        <v>6.03</v>
      </c>
      <c r="G32" s="12">
        <v>30</v>
      </c>
      <c r="H32" s="8">
        <v>2.1</v>
      </c>
      <c r="I32" s="12">
        <v>0</v>
      </c>
    </row>
    <row r="33" spans="2:9" ht="15" customHeight="1" x14ac:dyDescent="0.2">
      <c r="B33" t="s">
        <v>81</v>
      </c>
      <c r="C33" s="12">
        <v>87</v>
      </c>
      <c r="D33" s="8">
        <v>3.55</v>
      </c>
      <c r="E33" s="12">
        <v>49</v>
      </c>
      <c r="F33" s="8">
        <v>4.92</v>
      </c>
      <c r="G33" s="12">
        <v>37</v>
      </c>
      <c r="H33" s="8">
        <v>2.59</v>
      </c>
      <c r="I33" s="12">
        <v>1</v>
      </c>
    </row>
    <row r="34" spans="2:9" ht="15" customHeight="1" x14ac:dyDescent="0.2">
      <c r="B34" t="s">
        <v>86</v>
      </c>
      <c r="C34" s="12">
        <v>81</v>
      </c>
      <c r="D34" s="8">
        <v>3.3</v>
      </c>
      <c r="E34" s="12">
        <v>44</v>
      </c>
      <c r="F34" s="8">
        <v>4.42</v>
      </c>
      <c r="G34" s="12">
        <v>37</v>
      </c>
      <c r="H34" s="8">
        <v>2.59</v>
      </c>
      <c r="I34" s="12">
        <v>0</v>
      </c>
    </row>
    <row r="35" spans="2:9" ht="15" customHeight="1" x14ac:dyDescent="0.2">
      <c r="B35" t="s">
        <v>91</v>
      </c>
      <c r="C35" s="12">
        <v>68</v>
      </c>
      <c r="D35" s="8">
        <v>2.77</v>
      </c>
      <c r="E35" s="12">
        <v>59</v>
      </c>
      <c r="F35" s="8">
        <v>5.93</v>
      </c>
      <c r="G35" s="12">
        <v>9</v>
      </c>
      <c r="H35" s="8">
        <v>0.63</v>
      </c>
      <c r="I35" s="12">
        <v>0</v>
      </c>
    </row>
    <row r="36" spans="2:9" ht="15" customHeight="1" x14ac:dyDescent="0.2">
      <c r="B36" t="s">
        <v>93</v>
      </c>
      <c r="C36" s="12">
        <v>65</v>
      </c>
      <c r="D36" s="8">
        <v>2.65</v>
      </c>
      <c r="E36" s="12">
        <v>44</v>
      </c>
      <c r="F36" s="8">
        <v>4.42</v>
      </c>
      <c r="G36" s="12">
        <v>21</v>
      </c>
      <c r="H36" s="8">
        <v>1.47</v>
      </c>
      <c r="I36" s="12">
        <v>0</v>
      </c>
    </row>
    <row r="37" spans="2:9" ht="15" customHeight="1" x14ac:dyDescent="0.2">
      <c r="B37" t="s">
        <v>87</v>
      </c>
      <c r="C37" s="12">
        <v>60</v>
      </c>
      <c r="D37" s="8">
        <v>2.4500000000000002</v>
      </c>
      <c r="E37" s="12">
        <v>22</v>
      </c>
      <c r="F37" s="8">
        <v>2.21</v>
      </c>
      <c r="G37" s="12">
        <v>36</v>
      </c>
      <c r="H37" s="8">
        <v>2.52</v>
      </c>
      <c r="I37" s="12">
        <v>0</v>
      </c>
    </row>
    <row r="38" spans="2:9" ht="15" customHeight="1" x14ac:dyDescent="0.2">
      <c r="B38" t="s">
        <v>84</v>
      </c>
      <c r="C38" s="12">
        <v>55</v>
      </c>
      <c r="D38" s="8">
        <v>2.2400000000000002</v>
      </c>
      <c r="E38" s="12">
        <v>14</v>
      </c>
      <c r="F38" s="8">
        <v>1.41</v>
      </c>
      <c r="G38" s="12">
        <v>41</v>
      </c>
      <c r="H38" s="8">
        <v>2.87</v>
      </c>
      <c r="I38" s="12">
        <v>0</v>
      </c>
    </row>
    <row r="39" spans="2:9" ht="15" customHeight="1" x14ac:dyDescent="0.2">
      <c r="B39" t="s">
        <v>79</v>
      </c>
      <c r="C39" s="12">
        <v>54</v>
      </c>
      <c r="D39" s="8">
        <v>2.2000000000000002</v>
      </c>
      <c r="E39" s="12">
        <v>1</v>
      </c>
      <c r="F39" s="8">
        <v>0.1</v>
      </c>
      <c r="G39" s="12">
        <v>53</v>
      </c>
      <c r="H39" s="8">
        <v>3.71</v>
      </c>
      <c r="I39" s="12">
        <v>0</v>
      </c>
    </row>
    <row r="40" spans="2:9" ht="15" customHeight="1" x14ac:dyDescent="0.2">
      <c r="B40" t="s">
        <v>80</v>
      </c>
      <c r="C40" s="12">
        <v>51</v>
      </c>
      <c r="D40" s="8">
        <v>2.08</v>
      </c>
      <c r="E40" s="12">
        <v>19</v>
      </c>
      <c r="F40" s="8">
        <v>1.91</v>
      </c>
      <c r="G40" s="12">
        <v>32</v>
      </c>
      <c r="H40" s="8">
        <v>2.2400000000000002</v>
      </c>
      <c r="I40" s="12">
        <v>0</v>
      </c>
    </row>
    <row r="41" spans="2:9" ht="15" customHeight="1" x14ac:dyDescent="0.2">
      <c r="B41" t="s">
        <v>92</v>
      </c>
      <c r="C41" s="12">
        <v>50</v>
      </c>
      <c r="D41" s="8">
        <v>2.04</v>
      </c>
      <c r="E41" s="12">
        <v>0</v>
      </c>
      <c r="F41" s="8">
        <v>0</v>
      </c>
      <c r="G41" s="12">
        <v>41</v>
      </c>
      <c r="H41" s="8">
        <v>2.87</v>
      </c>
      <c r="I41" s="12">
        <v>0</v>
      </c>
    </row>
    <row r="42" spans="2:9" ht="15" customHeight="1" x14ac:dyDescent="0.2">
      <c r="B42" t="s">
        <v>95</v>
      </c>
      <c r="C42" s="12">
        <v>45</v>
      </c>
      <c r="D42" s="8">
        <v>1.83</v>
      </c>
      <c r="E42" s="12">
        <v>7</v>
      </c>
      <c r="F42" s="8">
        <v>0.7</v>
      </c>
      <c r="G42" s="12">
        <v>36</v>
      </c>
      <c r="H42" s="8">
        <v>2.52</v>
      </c>
      <c r="I42" s="12">
        <v>2</v>
      </c>
    </row>
    <row r="43" spans="2:9" ht="15" customHeight="1" x14ac:dyDescent="0.2">
      <c r="B43" t="s">
        <v>94</v>
      </c>
      <c r="C43" s="12">
        <v>35</v>
      </c>
      <c r="D43" s="8">
        <v>1.43</v>
      </c>
      <c r="E43" s="12">
        <v>3</v>
      </c>
      <c r="F43" s="8">
        <v>0.3</v>
      </c>
      <c r="G43" s="12">
        <v>32</v>
      </c>
      <c r="H43" s="8">
        <v>2.2400000000000002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131</v>
      </c>
      <c r="D47" s="8">
        <v>5.34</v>
      </c>
      <c r="E47" s="12">
        <v>119</v>
      </c>
      <c r="F47" s="8">
        <v>11.96</v>
      </c>
      <c r="G47" s="12">
        <v>12</v>
      </c>
      <c r="H47" s="8">
        <v>0.84</v>
      </c>
      <c r="I47" s="12">
        <v>0</v>
      </c>
    </row>
    <row r="48" spans="2:9" ht="15" customHeight="1" x14ac:dyDescent="0.2">
      <c r="B48" t="s">
        <v>145</v>
      </c>
      <c r="C48" s="12">
        <v>111</v>
      </c>
      <c r="D48" s="8">
        <v>4.53</v>
      </c>
      <c r="E48" s="12">
        <v>39</v>
      </c>
      <c r="F48" s="8">
        <v>3.92</v>
      </c>
      <c r="G48" s="12">
        <v>72</v>
      </c>
      <c r="H48" s="8">
        <v>5.03</v>
      </c>
      <c r="I48" s="12">
        <v>0</v>
      </c>
    </row>
    <row r="49" spans="2:9" ht="15" customHeight="1" x14ac:dyDescent="0.2">
      <c r="B49" t="s">
        <v>141</v>
      </c>
      <c r="C49" s="12">
        <v>73</v>
      </c>
      <c r="D49" s="8">
        <v>2.98</v>
      </c>
      <c r="E49" s="12">
        <v>38</v>
      </c>
      <c r="F49" s="8">
        <v>3.82</v>
      </c>
      <c r="G49" s="12">
        <v>35</v>
      </c>
      <c r="H49" s="8">
        <v>2.4500000000000002</v>
      </c>
      <c r="I49" s="12">
        <v>0</v>
      </c>
    </row>
    <row r="50" spans="2:9" ht="15" customHeight="1" x14ac:dyDescent="0.2">
      <c r="B50" t="s">
        <v>150</v>
      </c>
      <c r="C50" s="12">
        <v>68</v>
      </c>
      <c r="D50" s="8">
        <v>2.77</v>
      </c>
      <c r="E50" s="12">
        <v>63</v>
      </c>
      <c r="F50" s="8">
        <v>6.33</v>
      </c>
      <c r="G50" s="12">
        <v>5</v>
      </c>
      <c r="H50" s="8">
        <v>0.35</v>
      </c>
      <c r="I50" s="12">
        <v>0</v>
      </c>
    </row>
    <row r="51" spans="2:9" ht="15" customHeight="1" x14ac:dyDescent="0.2">
      <c r="B51" t="s">
        <v>135</v>
      </c>
      <c r="C51" s="12">
        <v>67</v>
      </c>
      <c r="D51" s="8">
        <v>2.73</v>
      </c>
      <c r="E51" s="12">
        <v>8</v>
      </c>
      <c r="F51" s="8">
        <v>0.8</v>
      </c>
      <c r="G51" s="12">
        <v>59</v>
      </c>
      <c r="H51" s="8">
        <v>4.13</v>
      </c>
      <c r="I51" s="12">
        <v>0</v>
      </c>
    </row>
    <row r="52" spans="2:9" ht="15" customHeight="1" x14ac:dyDescent="0.2">
      <c r="B52" t="s">
        <v>154</v>
      </c>
      <c r="C52" s="12">
        <v>65</v>
      </c>
      <c r="D52" s="8">
        <v>2.65</v>
      </c>
      <c r="E52" s="12">
        <v>44</v>
      </c>
      <c r="F52" s="8">
        <v>4.42</v>
      </c>
      <c r="G52" s="12">
        <v>21</v>
      </c>
      <c r="H52" s="8">
        <v>1.47</v>
      </c>
      <c r="I52" s="12">
        <v>0</v>
      </c>
    </row>
    <row r="53" spans="2:9" ht="15" customHeight="1" x14ac:dyDescent="0.2">
      <c r="B53" t="s">
        <v>138</v>
      </c>
      <c r="C53" s="12">
        <v>62</v>
      </c>
      <c r="D53" s="8">
        <v>2.5299999999999998</v>
      </c>
      <c r="E53" s="12">
        <v>17</v>
      </c>
      <c r="F53" s="8">
        <v>1.71</v>
      </c>
      <c r="G53" s="12">
        <v>45</v>
      </c>
      <c r="H53" s="8">
        <v>3.15</v>
      </c>
      <c r="I53" s="12">
        <v>0</v>
      </c>
    </row>
    <row r="54" spans="2:9" ht="15" customHeight="1" x14ac:dyDescent="0.2">
      <c r="B54" t="s">
        <v>152</v>
      </c>
      <c r="C54" s="12">
        <v>58</v>
      </c>
      <c r="D54" s="8">
        <v>2.36</v>
      </c>
      <c r="E54" s="12">
        <v>39</v>
      </c>
      <c r="F54" s="8">
        <v>3.92</v>
      </c>
      <c r="G54" s="12">
        <v>19</v>
      </c>
      <c r="H54" s="8">
        <v>1.33</v>
      </c>
      <c r="I54" s="12">
        <v>0</v>
      </c>
    </row>
    <row r="55" spans="2:9" ht="15" customHeight="1" x14ac:dyDescent="0.2">
      <c r="B55" t="s">
        <v>153</v>
      </c>
      <c r="C55" s="12">
        <v>53</v>
      </c>
      <c r="D55" s="8">
        <v>2.16</v>
      </c>
      <c r="E55" s="12">
        <v>47</v>
      </c>
      <c r="F55" s="8">
        <v>4.72</v>
      </c>
      <c r="G55" s="12">
        <v>6</v>
      </c>
      <c r="H55" s="8">
        <v>0.42</v>
      </c>
      <c r="I55" s="12">
        <v>0</v>
      </c>
    </row>
    <row r="56" spans="2:9" ht="15" customHeight="1" x14ac:dyDescent="0.2">
      <c r="B56" t="s">
        <v>147</v>
      </c>
      <c r="C56" s="12">
        <v>46</v>
      </c>
      <c r="D56" s="8">
        <v>1.88</v>
      </c>
      <c r="E56" s="12">
        <v>34</v>
      </c>
      <c r="F56" s="8">
        <v>3.42</v>
      </c>
      <c r="G56" s="12">
        <v>12</v>
      </c>
      <c r="H56" s="8">
        <v>0.84</v>
      </c>
      <c r="I56" s="12">
        <v>0</v>
      </c>
    </row>
    <row r="57" spans="2:9" ht="15" customHeight="1" x14ac:dyDescent="0.2">
      <c r="B57" t="s">
        <v>136</v>
      </c>
      <c r="C57" s="12">
        <v>45</v>
      </c>
      <c r="D57" s="8">
        <v>1.83</v>
      </c>
      <c r="E57" s="12">
        <v>7</v>
      </c>
      <c r="F57" s="8">
        <v>0.7</v>
      </c>
      <c r="G57" s="12">
        <v>38</v>
      </c>
      <c r="H57" s="8">
        <v>2.66</v>
      </c>
      <c r="I57" s="12">
        <v>0</v>
      </c>
    </row>
    <row r="58" spans="2:9" ht="15" customHeight="1" x14ac:dyDescent="0.2">
      <c r="B58" t="s">
        <v>137</v>
      </c>
      <c r="C58" s="12">
        <v>44</v>
      </c>
      <c r="D58" s="8">
        <v>1.79</v>
      </c>
      <c r="E58" s="12">
        <v>9</v>
      </c>
      <c r="F58" s="8">
        <v>0.9</v>
      </c>
      <c r="G58" s="12">
        <v>35</v>
      </c>
      <c r="H58" s="8">
        <v>2.4500000000000002</v>
      </c>
      <c r="I58" s="12">
        <v>0</v>
      </c>
    </row>
    <row r="59" spans="2:9" ht="15" customHeight="1" x14ac:dyDescent="0.2">
      <c r="B59" t="s">
        <v>144</v>
      </c>
      <c r="C59" s="12">
        <v>44</v>
      </c>
      <c r="D59" s="8">
        <v>1.79</v>
      </c>
      <c r="E59" s="12">
        <v>3</v>
      </c>
      <c r="F59" s="8">
        <v>0.3</v>
      </c>
      <c r="G59" s="12">
        <v>40</v>
      </c>
      <c r="H59" s="8">
        <v>2.8</v>
      </c>
      <c r="I59" s="12">
        <v>1</v>
      </c>
    </row>
    <row r="60" spans="2:9" ht="15" customHeight="1" x14ac:dyDescent="0.2">
      <c r="B60" t="s">
        <v>146</v>
      </c>
      <c r="C60" s="12">
        <v>44</v>
      </c>
      <c r="D60" s="8">
        <v>1.79</v>
      </c>
      <c r="E60" s="12">
        <v>13</v>
      </c>
      <c r="F60" s="8">
        <v>1.31</v>
      </c>
      <c r="G60" s="12">
        <v>29</v>
      </c>
      <c r="H60" s="8">
        <v>2.0299999999999998</v>
      </c>
      <c r="I60" s="12">
        <v>0</v>
      </c>
    </row>
    <row r="61" spans="2:9" ht="15" customHeight="1" x14ac:dyDescent="0.2">
      <c r="B61" t="s">
        <v>163</v>
      </c>
      <c r="C61" s="12">
        <v>42</v>
      </c>
      <c r="D61" s="8">
        <v>1.71</v>
      </c>
      <c r="E61" s="12">
        <v>6</v>
      </c>
      <c r="F61" s="8">
        <v>0.6</v>
      </c>
      <c r="G61" s="12">
        <v>36</v>
      </c>
      <c r="H61" s="8">
        <v>2.52</v>
      </c>
      <c r="I61" s="12">
        <v>0</v>
      </c>
    </row>
    <row r="62" spans="2:9" ht="15" customHeight="1" x14ac:dyDescent="0.2">
      <c r="B62" t="s">
        <v>143</v>
      </c>
      <c r="C62" s="12">
        <v>40</v>
      </c>
      <c r="D62" s="8">
        <v>1.63</v>
      </c>
      <c r="E62" s="12">
        <v>20</v>
      </c>
      <c r="F62" s="8">
        <v>2.0099999999999998</v>
      </c>
      <c r="G62" s="12">
        <v>20</v>
      </c>
      <c r="H62" s="8">
        <v>1.4</v>
      </c>
      <c r="I62" s="12">
        <v>0</v>
      </c>
    </row>
    <row r="63" spans="2:9" ht="15" customHeight="1" x14ac:dyDescent="0.2">
      <c r="B63" t="s">
        <v>155</v>
      </c>
      <c r="C63" s="12">
        <v>40</v>
      </c>
      <c r="D63" s="8">
        <v>1.63</v>
      </c>
      <c r="E63" s="12">
        <v>11</v>
      </c>
      <c r="F63" s="8">
        <v>1.1100000000000001</v>
      </c>
      <c r="G63" s="12">
        <v>29</v>
      </c>
      <c r="H63" s="8">
        <v>2.0299999999999998</v>
      </c>
      <c r="I63" s="12">
        <v>0</v>
      </c>
    </row>
    <row r="64" spans="2:9" ht="15" customHeight="1" x14ac:dyDescent="0.2">
      <c r="B64" t="s">
        <v>140</v>
      </c>
      <c r="C64" s="12">
        <v>37</v>
      </c>
      <c r="D64" s="8">
        <v>1.51</v>
      </c>
      <c r="E64" s="12">
        <v>20</v>
      </c>
      <c r="F64" s="8">
        <v>2.0099999999999998</v>
      </c>
      <c r="G64" s="12">
        <v>16</v>
      </c>
      <c r="H64" s="8">
        <v>1.1200000000000001</v>
      </c>
      <c r="I64" s="12">
        <v>1</v>
      </c>
    </row>
    <row r="65" spans="2:9" ht="15" customHeight="1" x14ac:dyDescent="0.2">
      <c r="B65" t="s">
        <v>142</v>
      </c>
      <c r="C65" s="12">
        <v>37</v>
      </c>
      <c r="D65" s="8">
        <v>1.51</v>
      </c>
      <c r="E65" s="12">
        <v>9</v>
      </c>
      <c r="F65" s="8">
        <v>0.9</v>
      </c>
      <c r="G65" s="12">
        <v>28</v>
      </c>
      <c r="H65" s="8">
        <v>1.96</v>
      </c>
      <c r="I65" s="12">
        <v>0</v>
      </c>
    </row>
    <row r="66" spans="2:9" ht="15" customHeight="1" x14ac:dyDescent="0.2">
      <c r="B66" t="s">
        <v>162</v>
      </c>
      <c r="C66" s="12">
        <v>33</v>
      </c>
      <c r="D66" s="8">
        <v>1.35</v>
      </c>
      <c r="E66" s="12">
        <v>11</v>
      </c>
      <c r="F66" s="8">
        <v>1.1100000000000001</v>
      </c>
      <c r="G66" s="12">
        <v>22</v>
      </c>
      <c r="H66" s="8">
        <v>1.54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5B656-41D7-4B0A-99F6-1FB1346FA85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413</v>
      </c>
      <c r="D6" s="8">
        <v>17.37</v>
      </c>
      <c r="E6" s="12">
        <v>82</v>
      </c>
      <c r="F6" s="8">
        <v>8.06</v>
      </c>
      <c r="G6" s="12">
        <v>331</v>
      </c>
      <c r="H6" s="8">
        <v>25</v>
      </c>
      <c r="I6" s="12">
        <v>0</v>
      </c>
    </row>
    <row r="7" spans="2:9" ht="15" customHeight="1" x14ac:dyDescent="0.2">
      <c r="B7" t="s">
        <v>53</v>
      </c>
      <c r="C7" s="12">
        <v>128</v>
      </c>
      <c r="D7" s="8">
        <v>5.38</v>
      </c>
      <c r="E7" s="12">
        <v>34</v>
      </c>
      <c r="F7" s="8">
        <v>3.34</v>
      </c>
      <c r="G7" s="12">
        <v>94</v>
      </c>
      <c r="H7" s="8">
        <v>7.1</v>
      </c>
      <c r="I7" s="12">
        <v>0</v>
      </c>
    </row>
    <row r="8" spans="2:9" ht="15" customHeight="1" x14ac:dyDescent="0.2">
      <c r="B8" t="s">
        <v>54</v>
      </c>
      <c r="C8" s="12">
        <v>12</v>
      </c>
      <c r="D8" s="8">
        <v>0.5</v>
      </c>
      <c r="E8" s="12">
        <v>0</v>
      </c>
      <c r="F8" s="8">
        <v>0</v>
      </c>
      <c r="G8" s="12">
        <v>12</v>
      </c>
      <c r="H8" s="8">
        <v>0.91</v>
      </c>
      <c r="I8" s="12">
        <v>0</v>
      </c>
    </row>
    <row r="9" spans="2:9" ht="15" customHeight="1" x14ac:dyDescent="0.2">
      <c r="B9" t="s">
        <v>55</v>
      </c>
      <c r="C9" s="12">
        <v>20</v>
      </c>
      <c r="D9" s="8">
        <v>0.84</v>
      </c>
      <c r="E9" s="12">
        <v>1</v>
      </c>
      <c r="F9" s="8">
        <v>0.1</v>
      </c>
      <c r="G9" s="12">
        <v>19</v>
      </c>
      <c r="H9" s="8">
        <v>1.44</v>
      </c>
      <c r="I9" s="12">
        <v>0</v>
      </c>
    </row>
    <row r="10" spans="2:9" ht="15" customHeight="1" x14ac:dyDescent="0.2">
      <c r="B10" t="s">
        <v>56</v>
      </c>
      <c r="C10" s="12">
        <v>24</v>
      </c>
      <c r="D10" s="8">
        <v>1.01</v>
      </c>
      <c r="E10" s="12">
        <v>13</v>
      </c>
      <c r="F10" s="8">
        <v>1.28</v>
      </c>
      <c r="G10" s="12">
        <v>11</v>
      </c>
      <c r="H10" s="8">
        <v>0.83</v>
      </c>
      <c r="I10" s="12">
        <v>0</v>
      </c>
    </row>
    <row r="11" spans="2:9" ht="15" customHeight="1" x14ac:dyDescent="0.2">
      <c r="B11" t="s">
        <v>57</v>
      </c>
      <c r="C11" s="12">
        <v>509</v>
      </c>
      <c r="D11" s="8">
        <v>21.41</v>
      </c>
      <c r="E11" s="12">
        <v>194</v>
      </c>
      <c r="F11" s="8">
        <v>19.079999999999998</v>
      </c>
      <c r="G11" s="12">
        <v>315</v>
      </c>
      <c r="H11" s="8">
        <v>23.79</v>
      </c>
      <c r="I11" s="12">
        <v>0</v>
      </c>
    </row>
    <row r="12" spans="2:9" ht="15" customHeight="1" x14ac:dyDescent="0.2">
      <c r="B12" t="s">
        <v>58</v>
      </c>
      <c r="C12" s="12">
        <v>32</v>
      </c>
      <c r="D12" s="8">
        <v>1.35</v>
      </c>
      <c r="E12" s="12">
        <v>8</v>
      </c>
      <c r="F12" s="8">
        <v>0.79</v>
      </c>
      <c r="G12" s="12">
        <v>24</v>
      </c>
      <c r="H12" s="8">
        <v>1.81</v>
      </c>
      <c r="I12" s="12">
        <v>0</v>
      </c>
    </row>
    <row r="13" spans="2:9" ht="15" customHeight="1" x14ac:dyDescent="0.2">
      <c r="B13" t="s">
        <v>59</v>
      </c>
      <c r="C13" s="12">
        <v>274</v>
      </c>
      <c r="D13" s="8">
        <v>11.53</v>
      </c>
      <c r="E13" s="12">
        <v>73</v>
      </c>
      <c r="F13" s="8">
        <v>7.18</v>
      </c>
      <c r="G13" s="12">
        <v>199</v>
      </c>
      <c r="H13" s="8">
        <v>15.03</v>
      </c>
      <c r="I13" s="12">
        <v>1</v>
      </c>
    </row>
    <row r="14" spans="2:9" ht="15" customHeight="1" x14ac:dyDescent="0.2">
      <c r="B14" t="s">
        <v>60</v>
      </c>
      <c r="C14" s="12">
        <v>155</v>
      </c>
      <c r="D14" s="8">
        <v>6.52</v>
      </c>
      <c r="E14" s="12">
        <v>77</v>
      </c>
      <c r="F14" s="8">
        <v>7.57</v>
      </c>
      <c r="G14" s="12">
        <v>78</v>
      </c>
      <c r="H14" s="8">
        <v>5.89</v>
      </c>
      <c r="I14" s="12">
        <v>0</v>
      </c>
    </row>
    <row r="15" spans="2:9" ht="15" customHeight="1" x14ac:dyDescent="0.2">
      <c r="B15" t="s">
        <v>61</v>
      </c>
      <c r="C15" s="12">
        <v>150</v>
      </c>
      <c r="D15" s="8">
        <v>6.31</v>
      </c>
      <c r="E15" s="12">
        <v>113</v>
      </c>
      <c r="F15" s="8">
        <v>11.11</v>
      </c>
      <c r="G15" s="12">
        <v>37</v>
      </c>
      <c r="H15" s="8">
        <v>2.79</v>
      </c>
      <c r="I15" s="12">
        <v>0</v>
      </c>
    </row>
    <row r="16" spans="2:9" ht="15" customHeight="1" x14ac:dyDescent="0.2">
      <c r="B16" t="s">
        <v>62</v>
      </c>
      <c r="C16" s="12">
        <v>317</v>
      </c>
      <c r="D16" s="8">
        <v>13.34</v>
      </c>
      <c r="E16" s="12">
        <v>241</v>
      </c>
      <c r="F16" s="8">
        <v>23.7</v>
      </c>
      <c r="G16" s="12">
        <v>63</v>
      </c>
      <c r="H16" s="8">
        <v>4.76</v>
      </c>
      <c r="I16" s="12">
        <v>0</v>
      </c>
    </row>
    <row r="17" spans="2:9" ht="15" customHeight="1" x14ac:dyDescent="0.2">
      <c r="B17" t="s">
        <v>63</v>
      </c>
      <c r="C17" s="12">
        <v>98</v>
      </c>
      <c r="D17" s="8">
        <v>4.12</v>
      </c>
      <c r="E17" s="12">
        <v>71</v>
      </c>
      <c r="F17" s="8">
        <v>6.98</v>
      </c>
      <c r="G17" s="12">
        <v>22</v>
      </c>
      <c r="H17" s="8">
        <v>1.66</v>
      </c>
      <c r="I17" s="12">
        <v>1</v>
      </c>
    </row>
    <row r="18" spans="2:9" ht="15" customHeight="1" x14ac:dyDescent="0.2">
      <c r="B18" t="s">
        <v>64</v>
      </c>
      <c r="C18" s="12">
        <v>125</v>
      </c>
      <c r="D18" s="8">
        <v>5.26</v>
      </c>
      <c r="E18" s="12">
        <v>66</v>
      </c>
      <c r="F18" s="8">
        <v>6.49</v>
      </c>
      <c r="G18" s="12">
        <v>53</v>
      </c>
      <c r="H18" s="8">
        <v>4</v>
      </c>
      <c r="I18" s="12">
        <v>0</v>
      </c>
    </row>
    <row r="19" spans="2:9" ht="15" customHeight="1" x14ac:dyDescent="0.2">
      <c r="B19" t="s">
        <v>65</v>
      </c>
      <c r="C19" s="12">
        <v>120</v>
      </c>
      <c r="D19" s="8">
        <v>5.05</v>
      </c>
      <c r="E19" s="12">
        <v>44</v>
      </c>
      <c r="F19" s="8">
        <v>4.33</v>
      </c>
      <c r="G19" s="12">
        <v>66</v>
      </c>
      <c r="H19" s="8">
        <v>4.9800000000000004</v>
      </c>
      <c r="I19" s="12">
        <v>9</v>
      </c>
    </row>
    <row r="20" spans="2:9" ht="15" customHeight="1" x14ac:dyDescent="0.2">
      <c r="B20" s="9" t="s">
        <v>281</v>
      </c>
      <c r="C20" s="12">
        <f>SUM(LTBL_43105[総数／事業所数])</f>
        <v>2377</v>
      </c>
      <c r="E20" s="12">
        <f>SUBTOTAL(109,LTBL_43105[個人／事業所数])</f>
        <v>1017</v>
      </c>
      <c r="G20" s="12">
        <f>SUBTOTAL(109,LTBL_43105[法人／事業所数])</f>
        <v>1324</v>
      </c>
      <c r="I20" s="12">
        <f>SUBTOTAL(109,LTBL_43105[法人以外の団体／事業所数])</f>
        <v>11</v>
      </c>
    </row>
    <row r="21" spans="2:9" ht="15" customHeight="1" x14ac:dyDescent="0.2">
      <c r="E21" s="11">
        <f>LTBL_43105[[#Totals],[個人／事業所数]]/LTBL_43105[[#Totals],[総数／事業所数]]</f>
        <v>0.42785023138409761</v>
      </c>
      <c r="G21" s="11">
        <f>LTBL_43105[[#Totals],[法人／事業所数]]/LTBL_43105[[#Totals],[総数／事業所数]]</f>
        <v>0.55700462768195202</v>
      </c>
      <c r="I21" s="11">
        <f>LTBL_43105[[#Totals],[法人以外の団体／事業所数]]/LTBL_43105[[#Totals],[総数／事業所数]]</f>
        <v>4.6276819520403873E-3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255</v>
      </c>
      <c r="D24" s="8">
        <v>10.73</v>
      </c>
      <c r="E24" s="12">
        <v>218</v>
      </c>
      <c r="F24" s="8">
        <v>21.44</v>
      </c>
      <c r="G24" s="12">
        <v>37</v>
      </c>
      <c r="H24" s="8">
        <v>2.79</v>
      </c>
      <c r="I24" s="12">
        <v>0</v>
      </c>
    </row>
    <row r="25" spans="2:9" ht="15" customHeight="1" x14ac:dyDescent="0.2">
      <c r="B25" t="s">
        <v>85</v>
      </c>
      <c r="C25" s="12">
        <v>211</v>
      </c>
      <c r="D25" s="8">
        <v>8.8800000000000008</v>
      </c>
      <c r="E25" s="12">
        <v>62</v>
      </c>
      <c r="F25" s="8">
        <v>6.1</v>
      </c>
      <c r="G25" s="12">
        <v>147</v>
      </c>
      <c r="H25" s="8">
        <v>11.1</v>
      </c>
      <c r="I25" s="12">
        <v>1</v>
      </c>
    </row>
    <row r="26" spans="2:9" ht="15" customHeight="1" x14ac:dyDescent="0.2">
      <c r="B26" t="s">
        <v>74</v>
      </c>
      <c r="C26" s="12">
        <v>186</v>
      </c>
      <c r="D26" s="8">
        <v>7.82</v>
      </c>
      <c r="E26" s="12">
        <v>28</v>
      </c>
      <c r="F26" s="8">
        <v>2.75</v>
      </c>
      <c r="G26" s="12">
        <v>158</v>
      </c>
      <c r="H26" s="8">
        <v>11.93</v>
      </c>
      <c r="I26" s="12">
        <v>0</v>
      </c>
    </row>
    <row r="27" spans="2:9" ht="15" customHeight="1" x14ac:dyDescent="0.2">
      <c r="B27" t="s">
        <v>83</v>
      </c>
      <c r="C27" s="12">
        <v>125</v>
      </c>
      <c r="D27" s="8">
        <v>5.26</v>
      </c>
      <c r="E27" s="12">
        <v>41</v>
      </c>
      <c r="F27" s="8">
        <v>4.03</v>
      </c>
      <c r="G27" s="12">
        <v>84</v>
      </c>
      <c r="H27" s="8">
        <v>6.34</v>
      </c>
      <c r="I27" s="12">
        <v>0</v>
      </c>
    </row>
    <row r="28" spans="2:9" ht="15" customHeight="1" x14ac:dyDescent="0.2">
      <c r="B28" t="s">
        <v>88</v>
      </c>
      <c r="C28" s="12">
        <v>125</v>
      </c>
      <c r="D28" s="8">
        <v>5.26</v>
      </c>
      <c r="E28" s="12">
        <v>105</v>
      </c>
      <c r="F28" s="8">
        <v>10.32</v>
      </c>
      <c r="G28" s="12">
        <v>20</v>
      </c>
      <c r="H28" s="8">
        <v>1.51</v>
      </c>
      <c r="I28" s="12">
        <v>0</v>
      </c>
    </row>
    <row r="29" spans="2:9" ht="15" customHeight="1" x14ac:dyDescent="0.2">
      <c r="B29" t="s">
        <v>76</v>
      </c>
      <c r="C29" s="12">
        <v>116</v>
      </c>
      <c r="D29" s="8">
        <v>4.88</v>
      </c>
      <c r="E29" s="12">
        <v>26</v>
      </c>
      <c r="F29" s="8">
        <v>2.56</v>
      </c>
      <c r="G29" s="12">
        <v>90</v>
      </c>
      <c r="H29" s="8">
        <v>6.8</v>
      </c>
      <c r="I29" s="12">
        <v>0</v>
      </c>
    </row>
    <row r="30" spans="2:9" ht="15" customHeight="1" x14ac:dyDescent="0.2">
      <c r="B30" t="s">
        <v>75</v>
      </c>
      <c r="C30" s="12">
        <v>111</v>
      </c>
      <c r="D30" s="8">
        <v>4.67</v>
      </c>
      <c r="E30" s="12">
        <v>28</v>
      </c>
      <c r="F30" s="8">
        <v>2.75</v>
      </c>
      <c r="G30" s="12">
        <v>83</v>
      </c>
      <c r="H30" s="8">
        <v>6.27</v>
      </c>
      <c r="I30" s="12">
        <v>0</v>
      </c>
    </row>
    <row r="31" spans="2:9" ht="15" customHeight="1" x14ac:dyDescent="0.2">
      <c r="B31" t="s">
        <v>81</v>
      </c>
      <c r="C31" s="12">
        <v>99</v>
      </c>
      <c r="D31" s="8">
        <v>4.16</v>
      </c>
      <c r="E31" s="12">
        <v>62</v>
      </c>
      <c r="F31" s="8">
        <v>6.1</v>
      </c>
      <c r="G31" s="12">
        <v>37</v>
      </c>
      <c r="H31" s="8">
        <v>2.79</v>
      </c>
      <c r="I31" s="12">
        <v>0</v>
      </c>
    </row>
    <row r="32" spans="2:9" ht="15" customHeight="1" x14ac:dyDescent="0.2">
      <c r="B32" t="s">
        <v>90</v>
      </c>
      <c r="C32" s="12">
        <v>98</v>
      </c>
      <c r="D32" s="8">
        <v>4.12</v>
      </c>
      <c r="E32" s="12">
        <v>71</v>
      </c>
      <c r="F32" s="8">
        <v>6.98</v>
      </c>
      <c r="G32" s="12">
        <v>22</v>
      </c>
      <c r="H32" s="8">
        <v>1.66</v>
      </c>
      <c r="I32" s="12">
        <v>1</v>
      </c>
    </row>
    <row r="33" spans="2:9" ht="15" customHeight="1" x14ac:dyDescent="0.2">
      <c r="B33" t="s">
        <v>82</v>
      </c>
      <c r="C33" s="12">
        <v>95</v>
      </c>
      <c r="D33" s="8">
        <v>4</v>
      </c>
      <c r="E33" s="12">
        <v>49</v>
      </c>
      <c r="F33" s="8">
        <v>4.82</v>
      </c>
      <c r="G33" s="12">
        <v>46</v>
      </c>
      <c r="H33" s="8">
        <v>3.47</v>
      </c>
      <c r="I33" s="12">
        <v>0</v>
      </c>
    </row>
    <row r="34" spans="2:9" ht="15" customHeight="1" x14ac:dyDescent="0.2">
      <c r="B34" t="s">
        <v>86</v>
      </c>
      <c r="C34" s="12">
        <v>86</v>
      </c>
      <c r="D34" s="8">
        <v>3.62</v>
      </c>
      <c r="E34" s="12">
        <v>55</v>
      </c>
      <c r="F34" s="8">
        <v>5.41</v>
      </c>
      <c r="G34" s="12">
        <v>31</v>
      </c>
      <c r="H34" s="8">
        <v>2.34</v>
      </c>
      <c r="I34" s="12">
        <v>0</v>
      </c>
    </row>
    <row r="35" spans="2:9" ht="15" customHeight="1" x14ac:dyDescent="0.2">
      <c r="B35" t="s">
        <v>91</v>
      </c>
      <c r="C35" s="12">
        <v>77</v>
      </c>
      <c r="D35" s="8">
        <v>3.24</v>
      </c>
      <c r="E35" s="12">
        <v>66</v>
      </c>
      <c r="F35" s="8">
        <v>6.49</v>
      </c>
      <c r="G35" s="12">
        <v>11</v>
      </c>
      <c r="H35" s="8">
        <v>0.83</v>
      </c>
      <c r="I35" s="12">
        <v>0</v>
      </c>
    </row>
    <row r="36" spans="2:9" ht="15" customHeight="1" x14ac:dyDescent="0.2">
      <c r="B36" t="s">
        <v>87</v>
      </c>
      <c r="C36" s="12">
        <v>59</v>
      </c>
      <c r="D36" s="8">
        <v>2.48</v>
      </c>
      <c r="E36" s="12">
        <v>21</v>
      </c>
      <c r="F36" s="8">
        <v>2.06</v>
      </c>
      <c r="G36" s="12">
        <v>38</v>
      </c>
      <c r="H36" s="8">
        <v>2.87</v>
      </c>
      <c r="I36" s="12">
        <v>0</v>
      </c>
    </row>
    <row r="37" spans="2:9" ht="15" customHeight="1" x14ac:dyDescent="0.2">
      <c r="B37" t="s">
        <v>84</v>
      </c>
      <c r="C37" s="12">
        <v>53</v>
      </c>
      <c r="D37" s="8">
        <v>2.23</v>
      </c>
      <c r="E37" s="12">
        <v>11</v>
      </c>
      <c r="F37" s="8">
        <v>1.08</v>
      </c>
      <c r="G37" s="12">
        <v>42</v>
      </c>
      <c r="H37" s="8">
        <v>3.17</v>
      </c>
      <c r="I37" s="12">
        <v>0</v>
      </c>
    </row>
    <row r="38" spans="2:9" ht="15" customHeight="1" x14ac:dyDescent="0.2">
      <c r="B38" t="s">
        <v>93</v>
      </c>
      <c r="C38" s="12">
        <v>49</v>
      </c>
      <c r="D38" s="8">
        <v>2.06</v>
      </c>
      <c r="E38" s="12">
        <v>36</v>
      </c>
      <c r="F38" s="8">
        <v>3.54</v>
      </c>
      <c r="G38" s="12">
        <v>13</v>
      </c>
      <c r="H38" s="8">
        <v>0.98</v>
      </c>
      <c r="I38" s="12">
        <v>0</v>
      </c>
    </row>
    <row r="39" spans="2:9" ht="15" customHeight="1" x14ac:dyDescent="0.2">
      <c r="B39" t="s">
        <v>92</v>
      </c>
      <c r="C39" s="12">
        <v>48</v>
      </c>
      <c r="D39" s="8">
        <v>2.02</v>
      </c>
      <c r="E39" s="12">
        <v>0</v>
      </c>
      <c r="F39" s="8">
        <v>0</v>
      </c>
      <c r="G39" s="12">
        <v>42</v>
      </c>
      <c r="H39" s="8">
        <v>3.17</v>
      </c>
      <c r="I39" s="12">
        <v>0</v>
      </c>
    </row>
    <row r="40" spans="2:9" ht="15" customHeight="1" x14ac:dyDescent="0.2">
      <c r="B40" t="s">
        <v>80</v>
      </c>
      <c r="C40" s="12">
        <v>46</v>
      </c>
      <c r="D40" s="8">
        <v>1.94</v>
      </c>
      <c r="E40" s="12">
        <v>20</v>
      </c>
      <c r="F40" s="8">
        <v>1.97</v>
      </c>
      <c r="G40" s="12">
        <v>26</v>
      </c>
      <c r="H40" s="8">
        <v>1.96</v>
      </c>
      <c r="I40" s="12">
        <v>0</v>
      </c>
    </row>
    <row r="41" spans="2:9" ht="15" customHeight="1" x14ac:dyDescent="0.2">
      <c r="B41" t="s">
        <v>79</v>
      </c>
      <c r="C41" s="12">
        <v>36</v>
      </c>
      <c r="D41" s="8">
        <v>1.51</v>
      </c>
      <c r="E41" s="12">
        <v>3</v>
      </c>
      <c r="F41" s="8">
        <v>0.28999999999999998</v>
      </c>
      <c r="G41" s="12">
        <v>33</v>
      </c>
      <c r="H41" s="8">
        <v>2.4900000000000002</v>
      </c>
      <c r="I41" s="12">
        <v>0</v>
      </c>
    </row>
    <row r="42" spans="2:9" ht="15" customHeight="1" x14ac:dyDescent="0.2">
      <c r="B42" t="s">
        <v>97</v>
      </c>
      <c r="C42" s="12">
        <v>36</v>
      </c>
      <c r="D42" s="8">
        <v>1.51</v>
      </c>
      <c r="E42" s="12">
        <v>13</v>
      </c>
      <c r="F42" s="8">
        <v>1.28</v>
      </c>
      <c r="G42" s="12">
        <v>23</v>
      </c>
      <c r="H42" s="8">
        <v>1.74</v>
      </c>
      <c r="I42" s="12">
        <v>0</v>
      </c>
    </row>
    <row r="43" spans="2:9" ht="15" customHeight="1" x14ac:dyDescent="0.2">
      <c r="B43" t="s">
        <v>95</v>
      </c>
      <c r="C43" s="12">
        <v>33</v>
      </c>
      <c r="D43" s="8">
        <v>1.39</v>
      </c>
      <c r="E43" s="12">
        <v>1</v>
      </c>
      <c r="F43" s="8">
        <v>0.1</v>
      </c>
      <c r="G43" s="12">
        <v>32</v>
      </c>
      <c r="H43" s="8">
        <v>2.42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145</v>
      </c>
      <c r="C47" s="12">
        <v>141</v>
      </c>
      <c r="D47" s="8">
        <v>5.93</v>
      </c>
      <c r="E47" s="12">
        <v>55</v>
      </c>
      <c r="F47" s="8">
        <v>5.41</v>
      </c>
      <c r="G47" s="12">
        <v>86</v>
      </c>
      <c r="H47" s="8">
        <v>6.5</v>
      </c>
      <c r="I47" s="12">
        <v>0</v>
      </c>
    </row>
    <row r="48" spans="2:9" ht="15" customHeight="1" x14ac:dyDescent="0.2">
      <c r="B48" t="s">
        <v>151</v>
      </c>
      <c r="C48" s="12">
        <v>118</v>
      </c>
      <c r="D48" s="8">
        <v>4.96</v>
      </c>
      <c r="E48" s="12">
        <v>106</v>
      </c>
      <c r="F48" s="8">
        <v>10.42</v>
      </c>
      <c r="G48" s="12">
        <v>12</v>
      </c>
      <c r="H48" s="8">
        <v>0.91</v>
      </c>
      <c r="I48" s="12">
        <v>0</v>
      </c>
    </row>
    <row r="49" spans="2:9" ht="15" customHeight="1" x14ac:dyDescent="0.2">
      <c r="B49" t="s">
        <v>150</v>
      </c>
      <c r="C49" s="12">
        <v>84</v>
      </c>
      <c r="D49" s="8">
        <v>3.53</v>
      </c>
      <c r="E49" s="12">
        <v>77</v>
      </c>
      <c r="F49" s="8">
        <v>7.57</v>
      </c>
      <c r="G49" s="12">
        <v>7</v>
      </c>
      <c r="H49" s="8">
        <v>0.53</v>
      </c>
      <c r="I49" s="12">
        <v>0</v>
      </c>
    </row>
    <row r="50" spans="2:9" ht="15" customHeight="1" x14ac:dyDescent="0.2">
      <c r="B50" t="s">
        <v>141</v>
      </c>
      <c r="C50" s="12">
        <v>69</v>
      </c>
      <c r="D50" s="8">
        <v>2.9</v>
      </c>
      <c r="E50" s="12">
        <v>38</v>
      </c>
      <c r="F50" s="8">
        <v>3.74</v>
      </c>
      <c r="G50" s="12">
        <v>31</v>
      </c>
      <c r="H50" s="8">
        <v>2.34</v>
      </c>
      <c r="I50" s="12">
        <v>0</v>
      </c>
    </row>
    <row r="51" spans="2:9" ht="15" customHeight="1" x14ac:dyDescent="0.2">
      <c r="B51" t="s">
        <v>135</v>
      </c>
      <c r="C51" s="12">
        <v>67</v>
      </c>
      <c r="D51" s="8">
        <v>2.82</v>
      </c>
      <c r="E51" s="12">
        <v>8</v>
      </c>
      <c r="F51" s="8">
        <v>0.79</v>
      </c>
      <c r="G51" s="12">
        <v>59</v>
      </c>
      <c r="H51" s="8">
        <v>4.46</v>
      </c>
      <c r="I51" s="12">
        <v>0</v>
      </c>
    </row>
    <row r="52" spans="2:9" ht="15" customHeight="1" x14ac:dyDescent="0.2">
      <c r="B52" t="s">
        <v>152</v>
      </c>
      <c r="C52" s="12">
        <v>66</v>
      </c>
      <c r="D52" s="8">
        <v>2.78</v>
      </c>
      <c r="E52" s="12">
        <v>54</v>
      </c>
      <c r="F52" s="8">
        <v>5.31</v>
      </c>
      <c r="G52" s="12">
        <v>11</v>
      </c>
      <c r="H52" s="8">
        <v>0.83</v>
      </c>
      <c r="I52" s="12">
        <v>1</v>
      </c>
    </row>
    <row r="53" spans="2:9" ht="15" customHeight="1" x14ac:dyDescent="0.2">
      <c r="B53" t="s">
        <v>153</v>
      </c>
      <c r="C53" s="12">
        <v>57</v>
      </c>
      <c r="D53" s="8">
        <v>2.4</v>
      </c>
      <c r="E53" s="12">
        <v>49</v>
      </c>
      <c r="F53" s="8">
        <v>4.82</v>
      </c>
      <c r="G53" s="12">
        <v>8</v>
      </c>
      <c r="H53" s="8">
        <v>0.6</v>
      </c>
      <c r="I53" s="12">
        <v>0</v>
      </c>
    </row>
    <row r="54" spans="2:9" ht="15" customHeight="1" x14ac:dyDescent="0.2">
      <c r="B54" t="s">
        <v>138</v>
      </c>
      <c r="C54" s="12">
        <v>56</v>
      </c>
      <c r="D54" s="8">
        <v>2.36</v>
      </c>
      <c r="E54" s="12">
        <v>11</v>
      </c>
      <c r="F54" s="8">
        <v>1.08</v>
      </c>
      <c r="G54" s="12">
        <v>45</v>
      </c>
      <c r="H54" s="8">
        <v>3.4</v>
      </c>
      <c r="I54" s="12">
        <v>0</v>
      </c>
    </row>
    <row r="55" spans="2:9" ht="15" customHeight="1" x14ac:dyDescent="0.2">
      <c r="B55" t="s">
        <v>144</v>
      </c>
      <c r="C55" s="12">
        <v>51</v>
      </c>
      <c r="D55" s="8">
        <v>2.15</v>
      </c>
      <c r="E55" s="12">
        <v>5</v>
      </c>
      <c r="F55" s="8">
        <v>0.49</v>
      </c>
      <c r="G55" s="12">
        <v>45</v>
      </c>
      <c r="H55" s="8">
        <v>3.4</v>
      </c>
      <c r="I55" s="12">
        <v>1</v>
      </c>
    </row>
    <row r="56" spans="2:9" ht="15" customHeight="1" x14ac:dyDescent="0.2">
      <c r="B56" t="s">
        <v>154</v>
      </c>
      <c r="C56" s="12">
        <v>49</v>
      </c>
      <c r="D56" s="8">
        <v>2.06</v>
      </c>
      <c r="E56" s="12">
        <v>36</v>
      </c>
      <c r="F56" s="8">
        <v>3.54</v>
      </c>
      <c r="G56" s="12">
        <v>13</v>
      </c>
      <c r="H56" s="8">
        <v>0.98</v>
      </c>
      <c r="I56" s="12">
        <v>0</v>
      </c>
    </row>
    <row r="57" spans="2:9" ht="15" customHeight="1" x14ac:dyDescent="0.2">
      <c r="B57" t="s">
        <v>137</v>
      </c>
      <c r="C57" s="12">
        <v>44</v>
      </c>
      <c r="D57" s="8">
        <v>1.85</v>
      </c>
      <c r="E57" s="12">
        <v>12</v>
      </c>
      <c r="F57" s="8">
        <v>1.18</v>
      </c>
      <c r="G57" s="12">
        <v>32</v>
      </c>
      <c r="H57" s="8">
        <v>2.42</v>
      </c>
      <c r="I57" s="12">
        <v>0</v>
      </c>
    </row>
    <row r="58" spans="2:9" ht="15" customHeight="1" x14ac:dyDescent="0.2">
      <c r="B58" t="s">
        <v>136</v>
      </c>
      <c r="C58" s="12">
        <v>43</v>
      </c>
      <c r="D58" s="8">
        <v>1.81</v>
      </c>
      <c r="E58" s="12">
        <v>3</v>
      </c>
      <c r="F58" s="8">
        <v>0.28999999999999998</v>
      </c>
      <c r="G58" s="12">
        <v>40</v>
      </c>
      <c r="H58" s="8">
        <v>3.02</v>
      </c>
      <c r="I58" s="12">
        <v>0</v>
      </c>
    </row>
    <row r="59" spans="2:9" ht="15" customHeight="1" x14ac:dyDescent="0.2">
      <c r="B59" t="s">
        <v>140</v>
      </c>
      <c r="C59" s="12">
        <v>40</v>
      </c>
      <c r="D59" s="8">
        <v>1.68</v>
      </c>
      <c r="E59" s="12">
        <v>22</v>
      </c>
      <c r="F59" s="8">
        <v>2.16</v>
      </c>
      <c r="G59" s="12">
        <v>18</v>
      </c>
      <c r="H59" s="8">
        <v>1.36</v>
      </c>
      <c r="I59" s="12">
        <v>0</v>
      </c>
    </row>
    <row r="60" spans="2:9" ht="15" customHeight="1" x14ac:dyDescent="0.2">
      <c r="B60" t="s">
        <v>142</v>
      </c>
      <c r="C60" s="12">
        <v>38</v>
      </c>
      <c r="D60" s="8">
        <v>1.6</v>
      </c>
      <c r="E60" s="12">
        <v>9</v>
      </c>
      <c r="F60" s="8">
        <v>0.88</v>
      </c>
      <c r="G60" s="12">
        <v>29</v>
      </c>
      <c r="H60" s="8">
        <v>2.19</v>
      </c>
      <c r="I60" s="12">
        <v>0</v>
      </c>
    </row>
    <row r="61" spans="2:9" ht="15" customHeight="1" x14ac:dyDescent="0.2">
      <c r="B61" t="s">
        <v>155</v>
      </c>
      <c r="C61" s="12">
        <v>38</v>
      </c>
      <c r="D61" s="8">
        <v>1.6</v>
      </c>
      <c r="E61" s="12">
        <v>9</v>
      </c>
      <c r="F61" s="8">
        <v>0.88</v>
      </c>
      <c r="G61" s="12">
        <v>29</v>
      </c>
      <c r="H61" s="8">
        <v>2.19</v>
      </c>
      <c r="I61" s="12">
        <v>0</v>
      </c>
    </row>
    <row r="62" spans="2:9" ht="15" customHeight="1" x14ac:dyDescent="0.2">
      <c r="B62" t="s">
        <v>163</v>
      </c>
      <c r="C62" s="12">
        <v>37</v>
      </c>
      <c r="D62" s="8">
        <v>1.56</v>
      </c>
      <c r="E62" s="12">
        <v>11</v>
      </c>
      <c r="F62" s="8">
        <v>1.08</v>
      </c>
      <c r="G62" s="12">
        <v>26</v>
      </c>
      <c r="H62" s="8">
        <v>1.96</v>
      </c>
      <c r="I62" s="12">
        <v>0</v>
      </c>
    </row>
    <row r="63" spans="2:9" ht="15" customHeight="1" x14ac:dyDescent="0.2">
      <c r="B63" t="s">
        <v>146</v>
      </c>
      <c r="C63" s="12">
        <v>37</v>
      </c>
      <c r="D63" s="8">
        <v>1.56</v>
      </c>
      <c r="E63" s="12">
        <v>11</v>
      </c>
      <c r="F63" s="8">
        <v>1.08</v>
      </c>
      <c r="G63" s="12">
        <v>26</v>
      </c>
      <c r="H63" s="8">
        <v>1.96</v>
      </c>
      <c r="I63" s="12">
        <v>0</v>
      </c>
    </row>
    <row r="64" spans="2:9" ht="15" customHeight="1" x14ac:dyDescent="0.2">
      <c r="B64" t="s">
        <v>143</v>
      </c>
      <c r="C64" s="12">
        <v>35</v>
      </c>
      <c r="D64" s="8">
        <v>1.47</v>
      </c>
      <c r="E64" s="12">
        <v>16</v>
      </c>
      <c r="F64" s="8">
        <v>1.57</v>
      </c>
      <c r="G64" s="12">
        <v>19</v>
      </c>
      <c r="H64" s="8">
        <v>1.44</v>
      </c>
      <c r="I64" s="12">
        <v>0</v>
      </c>
    </row>
    <row r="65" spans="2:9" ht="15" customHeight="1" x14ac:dyDescent="0.2">
      <c r="B65" t="s">
        <v>147</v>
      </c>
      <c r="C65" s="12">
        <v>35</v>
      </c>
      <c r="D65" s="8">
        <v>1.47</v>
      </c>
      <c r="E65" s="12">
        <v>26</v>
      </c>
      <c r="F65" s="8">
        <v>2.56</v>
      </c>
      <c r="G65" s="12">
        <v>9</v>
      </c>
      <c r="H65" s="8">
        <v>0.68</v>
      </c>
      <c r="I65" s="12">
        <v>0</v>
      </c>
    </row>
    <row r="66" spans="2:9" ht="15" customHeight="1" x14ac:dyDescent="0.2">
      <c r="B66" t="s">
        <v>148</v>
      </c>
      <c r="C66" s="12">
        <v>35</v>
      </c>
      <c r="D66" s="8">
        <v>1.47</v>
      </c>
      <c r="E66" s="12">
        <v>33</v>
      </c>
      <c r="F66" s="8">
        <v>3.24</v>
      </c>
      <c r="G66" s="12">
        <v>2</v>
      </c>
      <c r="H66" s="8">
        <v>0.15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CC0D-B4AD-4727-8735-3446E6CA0E7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0.03</v>
      </c>
      <c r="E5" s="12">
        <v>1</v>
      </c>
      <c r="F5" s="8">
        <v>0.05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431</v>
      </c>
      <c r="D6" s="8">
        <v>13.08</v>
      </c>
      <c r="E6" s="12">
        <v>169</v>
      </c>
      <c r="F6" s="8">
        <v>9.18</v>
      </c>
      <c r="G6" s="12">
        <v>262</v>
      </c>
      <c r="H6" s="8">
        <v>18.73</v>
      </c>
      <c r="I6" s="12">
        <v>0</v>
      </c>
    </row>
    <row r="7" spans="2:9" ht="15" customHeight="1" x14ac:dyDescent="0.2">
      <c r="B7" t="s">
        <v>53</v>
      </c>
      <c r="C7" s="12">
        <v>212</v>
      </c>
      <c r="D7" s="8">
        <v>6.44</v>
      </c>
      <c r="E7" s="12">
        <v>85</v>
      </c>
      <c r="F7" s="8">
        <v>4.62</v>
      </c>
      <c r="G7" s="12">
        <v>127</v>
      </c>
      <c r="H7" s="8">
        <v>9.08</v>
      </c>
      <c r="I7" s="12">
        <v>0</v>
      </c>
    </row>
    <row r="8" spans="2:9" ht="15" customHeight="1" x14ac:dyDescent="0.2">
      <c r="B8" t="s">
        <v>54</v>
      </c>
      <c r="C8" s="12">
        <v>14</v>
      </c>
      <c r="D8" s="8">
        <v>0.43</v>
      </c>
      <c r="E8" s="12">
        <v>0</v>
      </c>
      <c r="F8" s="8">
        <v>0</v>
      </c>
      <c r="G8" s="12">
        <v>13</v>
      </c>
      <c r="H8" s="8">
        <v>0.93</v>
      </c>
      <c r="I8" s="12">
        <v>0</v>
      </c>
    </row>
    <row r="9" spans="2:9" ht="15" customHeight="1" x14ac:dyDescent="0.2">
      <c r="B9" t="s">
        <v>55</v>
      </c>
      <c r="C9" s="12">
        <v>14</v>
      </c>
      <c r="D9" s="8">
        <v>0.43</v>
      </c>
      <c r="E9" s="12">
        <v>1</v>
      </c>
      <c r="F9" s="8">
        <v>0.05</v>
      </c>
      <c r="G9" s="12">
        <v>13</v>
      </c>
      <c r="H9" s="8">
        <v>0.93</v>
      </c>
      <c r="I9" s="12">
        <v>0</v>
      </c>
    </row>
    <row r="10" spans="2:9" ht="15" customHeight="1" x14ac:dyDescent="0.2">
      <c r="B10" t="s">
        <v>56</v>
      </c>
      <c r="C10" s="12">
        <v>29</v>
      </c>
      <c r="D10" s="8">
        <v>0.88</v>
      </c>
      <c r="E10" s="12">
        <v>2</v>
      </c>
      <c r="F10" s="8">
        <v>0.11</v>
      </c>
      <c r="G10" s="12">
        <v>27</v>
      </c>
      <c r="H10" s="8">
        <v>1.93</v>
      </c>
      <c r="I10" s="12">
        <v>0</v>
      </c>
    </row>
    <row r="11" spans="2:9" ht="15" customHeight="1" x14ac:dyDescent="0.2">
      <c r="B11" t="s">
        <v>57</v>
      </c>
      <c r="C11" s="12">
        <v>882</v>
      </c>
      <c r="D11" s="8">
        <v>26.78</v>
      </c>
      <c r="E11" s="12">
        <v>403</v>
      </c>
      <c r="F11" s="8">
        <v>21.9</v>
      </c>
      <c r="G11" s="12">
        <v>461</v>
      </c>
      <c r="H11" s="8">
        <v>32.950000000000003</v>
      </c>
      <c r="I11" s="12">
        <v>18</v>
      </c>
    </row>
    <row r="12" spans="2:9" ht="15" customHeight="1" x14ac:dyDescent="0.2">
      <c r="B12" t="s">
        <v>58</v>
      </c>
      <c r="C12" s="12">
        <v>27</v>
      </c>
      <c r="D12" s="8">
        <v>0.82</v>
      </c>
      <c r="E12" s="12">
        <v>3</v>
      </c>
      <c r="F12" s="8">
        <v>0.16</v>
      </c>
      <c r="G12" s="12">
        <v>24</v>
      </c>
      <c r="H12" s="8">
        <v>1.72</v>
      </c>
      <c r="I12" s="12">
        <v>0</v>
      </c>
    </row>
    <row r="13" spans="2:9" ht="15" customHeight="1" x14ac:dyDescent="0.2">
      <c r="B13" t="s">
        <v>59</v>
      </c>
      <c r="C13" s="12">
        <v>282</v>
      </c>
      <c r="D13" s="8">
        <v>8.56</v>
      </c>
      <c r="E13" s="12">
        <v>171</v>
      </c>
      <c r="F13" s="8">
        <v>9.2899999999999991</v>
      </c>
      <c r="G13" s="12">
        <v>111</v>
      </c>
      <c r="H13" s="8">
        <v>7.93</v>
      </c>
      <c r="I13" s="12">
        <v>0</v>
      </c>
    </row>
    <row r="14" spans="2:9" ht="15" customHeight="1" x14ac:dyDescent="0.2">
      <c r="B14" t="s">
        <v>60</v>
      </c>
      <c r="C14" s="12">
        <v>174</v>
      </c>
      <c r="D14" s="8">
        <v>5.28</v>
      </c>
      <c r="E14" s="12">
        <v>95</v>
      </c>
      <c r="F14" s="8">
        <v>5.16</v>
      </c>
      <c r="G14" s="12">
        <v>75</v>
      </c>
      <c r="H14" s="8">
        <v>5.36</v>
      </c>
      <c r="I14" s="12">
        <v>3</v>
      </c>
    </row>
    <row r="15" spans="2:9" ht="15" customHeight="1" x14ac:dyDescent="0.2">
      <c r="B15" t="s">
        <v>61</v>
      </c>
      <c r="C15" s="12">
        <v>392</v>
      </c>
      <c r="D15" s="8">
        <v>11.9</v>
      </c>
      <c r="E15" s="12">
        <v>337</v>
      </c>
      <c r="F15" s="8">
        <v>18.32</v>
      </c>
      <c r="G15" s="12">
        <v>54</v>
      </c>
      <c r="H15" s="8">
        <v>3.86</v>
      </c>
      <c r="I15" s="12">
        <v>1</v>
      </c>
    </row>
    <row r="16" spans="2:9" ht="15" customHeight="1" x14ac:dyDescent="0.2">
      <c r="B16" t="s">
        <v>62</v>
      </c>
      <c r="C16" s="12">
        <v>411</v>
      </c>
      <c r="D16" s="8">
        <v>12.48</v>
      </c>
      <c r="E16" s="12">
        <v>338</v>
      </c>
      <c r="F16" s="8">
        <v>18.37</v>
      </c>
      <c r="G16" s="12">
        <v>73</v>
      </c>
      <c r="H16" s="8">
        <v>5.22</v>
      </c>
      <c r="I16" s="12">
        <v>0</v>
      </c>
    </row>
    <row r="17" spans="2:9" ht="15" customHeight="1" x14ac:dyDescent="0.2">
      <c r="B17" t="s">
        <v>63</v>
      </c>
      <c r="C17" s="12">
        <v>98</v>
      </c>
      <c r="D17" s="8">
        <v>2.98</v>
      </c>
      <c r="E17" s="12">
        <v>78</v>
      </c>
      <c r="F17" s="8">
        <v>4.24</v>
      </c>
      <c r="G17" s="12">
        <v>18</v>
      </c>
      <c r="H17" s="8">
        <v>1.29</v>
      </c>
      <c r="I17" s="12">
        <v>0</v>
      </c>
    </row>
    <row r="18" spans="2:9" ht="15" customHeight="1" x14ac:dyDescent="0.2">
      <c r="B18" t="s">
        <v>64</v>
      </c>
      <c r="C18" s="12">
        <v>186</v>
      </c>
      <c r="D18" s="8">
        <v>5.65</v>
      </c>
      <c r="E18" s="12">
        <v>98</v>
      </c>
      <c r="F18" s="8">
        <v>5.33</v>
      </c>
      <c r="G18" s="12">
        <v>88</v>
      </c>
      <c r="H18" s="8">
        <v>6.29</v>
      </c>
      <c r="I18" s="12">
        <v>0</v>
      </c>
    </row>
    <row r="19" spans="2:9" ht="15" customHeight="1" x14ac:dyDescent="0.2">
      <c r="B19" t="s">
        <v>65</v>
      </c>
      <c r="C19" s="12">
        <v>141</v>
      </c>
      <c r="D19" s="8">
        <v>4.28</v>
      </c>
      <c r="E19" s="12">
        <v>59</v>
      </c>
      <c r="F19" s="8">
        <v>3.21</v>
      </c>
      <c r="G19" s="12">
        <v>53</v>
      </c>
      <c r="H19" s="8">
        <v>3.79</v>
      </c>
      <c r="I19" s="12">
        <v>15</v>
      </c>
    </row>
    <row r="20" spans="2:9" ht="15" customHeight="1" x14ac:dyDescent="0.2">
      <c r="B20" s="9" t="s">
        <v>281</v>
      </c>
      <c r="C20" s="12">
        <f>SUM(LTBL_43202[総数／事業所数])</f>
        <v>3294</v>
      </c>
      <c r="E20" s="12">
        <f>SUBTOTAL(109,LTBL_43202[個人／事業所数])</f>
        <v>1840</v>
      </c>
      <c r="G20" s="12">
        <f>SUBTOTAL(109,LTBL_43202[法人／事業所数])</f>
        <v>1399</v>
      </c>
      <c r="I20" s="12">
        <f>SUBTOTAL(109,LTBL_43202[法人以外の団体／事業所数])</f>
        <v>37</v>
      </c>
    </row>
    <row r="21" spans="2:9" ht="15" customHeight="1" x14ac:dyDescent="0.2">
      <c r="E21" s="11">
        <f>LTBL_43202[[#Totals],[個人／事業所数]]/LTBL_43202[[#Totals],[総数／事業所数]]</f>
        <v>0.55859137826350946</v>
      </c>
      <c r="G21" s="11">
        <f>LTBL_43202[[#Totals],[法人／事業所数]]/LTBL_43202[[#Totals],[総数／事業所数]]</f>
        <v>0.4247115968427444</v>
      </c>
      <c r="I21" s="11">
        <f>LTBL_43202[[#Totals],[法人以外の団体／事業所数]]/LTBL_43202[[#Totals],[総数／事業所数]]</f>
        <v>1.1232544019429266E-2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347</v>
      </c>
      <c r="D24" s="8">
        <v>10.53</v>
      </c>
      <c r="E24" s="12">
        <v>309</v>
      </c>
      <c r="F24" s="8">
        <v>16.79</v>
      </c>
      <c r="G24" s="12">
        <v>38</v>
      </c>
      <c r="H24" s="8">
        <v>2.72</v>
      </c>
      <c r="I24" s="12">
        <v>0</v>
      </c>
    </row>
    <row r="25" spans="2:9" ht="15" customHeight="1" x14ac:dyDescent="0.2">
      <c r="B25" t="s">
        <v>89</v>
      </c>
      <c r="C25" s="12">
        <v>347</v>
      </c>
      <c r="D25" s="8">
        <v>10.53</v>
      </c>
      <c r="E25" s="12">
        <v>302</v>
      </c>
      <c r="F25" s="8">
        <v>16.41</v>
      </c>
      <c r="G25" s="12">
        <v>45</v>
      </c>
      <c r="H25" s="8">
        <v>3.22</v>
      </c>
      <c r="I25" s="12">
        <v>0</v>
      </c>
    </row>
    <row r="26" spans="2:9" ht="15" customHeight="1" x14ac:dyDescent="0.2">
      <c r="B26" t="s">
        <v>83</v>
      </c>
      <c r="C26" s="12">
        <v>265</v>
      </c>
      <c r="D26" s="8">
        <v>8.0399999999999991</v>
      </c>
      <c r="E26" s="12">
        <v>119</v>
      </c>
      <c r="F26" s="8">
        <v>6.47</v>
      </c>
      <c r="G26" s="12">
        <v>133</v>
      </c>
      <c r="H26" s="8">
        <v>9.51</v>
      </c>
      <c r="I26" s="12">
        <v>13</v>
      </c>
    </row>
    <row r="27" spans="2:9" ht="15" customHeight="1" x14ac:dyDescent="0.2">
      <c r="B27" t="s">
        <v>85</v>
      </c>
      <c r="C27" s="12">
        <v>224</v>
      </c>
      <c r="D27" s="8">
        <v>6.8</v>
      </c>
      <c r="E27" s="12">
        <v>149</v>
      </c>
      <c r="F27" s="8">
        <v>8.1</v>
      </c>
      <c r="G27" s="12">
        <v>75</v>
      </c>
      <c r="H27" s="8">
        <v>5.36</v>
      </c>
      <c r="I27" s="12">
        <v>0</v>
      </c>
    </row>
    <row r="28" spans="2:9" ht="15" customHeight="1" x14ac:dyDescent="0.2">
      <c r="B28" t="s">
        <v>74</v>
      </c>
      <c r="C28" s="12">
        <v>210</v>
      </c>
      <c r="D28" s="8">
        <v>6.38</v>
      </c>
      <c r="E28" s="12">
        <v>71</v>
      </c>
      <c r="F28" s="8">
        <v>3.86</v>
      </c>
      <c r="G28" s="12">
        <v>139</v>
      </c>
      <c r="H28" s="8">
        <v>9.94</v>
      </c>
      <c r="I28" s="12">
        <v>0</v>
      </c>
    </row>
    <row r="29" spans="2:9" ht="15" customHeight="1" x14ac:dyDescent="0.2">
      <c r="B29" t="s">
        <v>81</v>
      </c>
      <c r="C29" s="12">
        <v>184</v>
      </c>
      <c r="D29" s="8">
        <v>5.59</v>
      </c>
      <c r="E29" s="12">
        <v>119</v>
      </c>
      <c r="F29" s="8">
        <v>6.47</v>
      </c>
      <c r="G29" s="12">
        <v>62</v>
      </c>
      <c r="H29" s="8">
        <v>4.43</v>
      </c>
      <c r="I29" s="12">
        <v>3</v>
      </c>
    </row>
    <row r="30" spans="2:9" ht="15" customHeight="1" x14ac:dyDescent="0.2">
      <c r="B30" t="s">
        <v>82</v>
      </c>
      <c r="C30" s="12">
        <v>137</v>
      </c>
      <c r="D30" s="8">
        <v>4.16</v>
      </c>
      <c r="E30" s="12">
        <v>94</v>
      </c>
      <c r="F30" s="8">
        <v>5.1100000000000003</v>
      </c>
      <c r="G30" s="12">
        <v>43</v>
      </c>
      <c r="H30" s="8">
        <v>3.07</v>
      </c>
      <c r="I30" s="12">
        <v>0</v>
      </c>
    </row>
    <row r="31" spans="2:9" ht="15" customHeight="1" x14ac:dyDescent="0.2">
      <c r="B31" t="s">
        <v>91</v>
      </c>
      <c r="C31" s="12">
        <v>116</v>
      </c>
      <c r="D31" s="8">
        <v>3.52</v>
      </c>
      <c r="E31" s="12">
        <v>97</v>
      </c>
      <c r="F31" s="8">
        <v>5.27</v>
      </c>
      <c r="G31" s="12">
        <v>19</v>
      </c>
      <c r="H31" s="8">
        <v>1.36</v>
      </c>
      <c r="I31" s="12">
        <v>0</v>
      </c>
    </row>
    <row r="32" spans="2:9" ht="15" customHeight="1" x14ac:dyDescent="0.2">
      <c r="B32" t="s">
        <v>75</v>
      </c>
      <c r="C32" s="12">
        <v>111</v>
      </c>
      <c r="D32" s="8">
        <v>3.37</v>
      </c>
      <c r="E32" s="12">
        <v>56</v>
      </c>
      <c r="F32" s="8">
        <v>3.04</v>
      </c>
      <c r="G32" s="12">
        <v>55</v>
      </c>
      <c r="H32" s="8">
        <v>3.93</v>
      </c>
      <c r="I32" s="12">
        <v>0</v>
      </c>
    </row>
    <row r="33" spans="2:9" ht="15" customHeight="1" x14ac:dyDescent="0.2">
      <c r="B33" t="s">
        <v>76</v>
      </c>
      <c r="C33" s="12">
        <v>110</v>
      </c>
      <c r="D33" s="8">
        <v>3.34</v>
      </c>
      <c r="E33" s="12">
        <v>42</v>
      </c>
      <c r="F33" s="8">
        <v>2.2799999999999998</v>
      </c>
      <c r="G33" s="12">
        <v>68</v>
      </c>
      <c r="H33" s="8">
        <v>4.8600000000000003</v>
      </c>
      <c r="I33" s="12">
        <v>0</v>
      </c>
    </row>
    <row r="34" spans="2:9" ht="15" customHeight="1" x14ac:dyDescent="0.2">
      <c r="B34" t="s">
        <v>86</v>
      </c>
      <c r="C34" s="12">
        <v>100</v>
      </c>
      <c r="D34" s="8">
        <v>3.04</v>
      </c>
      <c r="E34" s="12">
        <v>67</v>
      </c>
      <c r="F34" s="8">
        <v>3.64</v>
      </c>
      <c r="G34" s="12">
        <v>30</v>
      </c>
      <c r="H34" s="8">
        <v>2.14</v>
      </c>
      <c r="I34" s="12">
        <v>3</v>
      </c>
    </row>
    <row r="35" spans="2:9" ht="15" customHeight="1" x14ac:dyDescent="0.2">
      <c r="B35" t="s">
        <v>90</v>
      </c>
      <c r="C35" s="12">
        <v>98</v>
      </c>
      <c r="D35" s="8">
        <v>2.98</v>
      </c>
      <c r="E35" s="12">
        <v>78</v>
      </c>
      <c r="F35" s="8">
        <v>4.24</v>
      </c>
      <c r="G35" s="12">
        <v>18</v>
      </c>
      <c r="H35" s="8">
        <v>1.29</v>
      </c>
      <c r="I35" s="12">
        <v>0</v>
      </c>
    </row>
    <row r="36" spans="2:9" ht="15" customHeight="1" x14ac:dyDescent="0.2">
      <c r="B36" t="s">
        <v>80</v>
      </c>
      <c r="C36" s="12">
        <v>79</v>
      </c>
      <c r="D36" s="8">
        <v>2.4</v>
      </c>
      <c r="E36" s="12">
        <v>29</v>
      </c>
      <c r="F36" s="8">
        <v>1.58</v>
      </c>
      <c r="G36" s="12">
        <v>49</v>
      </c>
      <c r="H36" s="8">
        <v>3.5</v>
      </c>
      <c r="I36" s="12">
        <v>1</v>
      </c>
    </row>
    <row r="37" spans="2:9" ht="15" customHeight="1" x14ac:dyDescent="0.2">
      <c r="B37" t="s">
        <v>87</v>
      </c>
      <c r="C37" s="12">
        <v>73</v>
      </c>
      <c r="D37" s="8">
        <v>2.2200000000000002</v>
      </c>
      <c r="E37" s="12">
        <v>28</v>
      </c>
      <c r="F37" s="8">
        <v>1.52</v>
      </c>
      <c r="G37" s="12">
        <v>44</v>
      </c>
      <c r="H37" s="8">
        <v>3.15</v>
      </c>
      <c r="I37" s="12">
        <v>0</v>
      </c>
    </row>
    <row r="38" spans="2:9" ht="15" customHeight="1" x14ac:dyDescent="0.2">
      <c r="B38" t="s">
        <v>92</v>
      </c>
      <c r="C38" s="12">
        <v>70</v>
      </c>
      <c r="D38" s="8">
        <v>2.13</v>
      </c>
      <c r="E38" s="12">
        <v>1</v>
      </c>
      <c r="F38" s="8">
        <v>0.05</v>
      </c>
      <c r="G38" s="12">
        <v>69</v>
      </c>
      <c r="H38" s="8">
        <v>4.93</v>
      </c>
      <c r="I38" s="12">
        <v>0</v>
      </c>
    </row>
    <row r="39" spans="2:9" ht="15" customHeight="1" x14ac:dyDescent="0.2">
      <c r="B39" t="s">
        <v>93</v>
      </c>
      <c r="C39" s="12">
        <v>54</v>
      </c>
      <c r="D39" s="8">
        <v>1.64</v>
      </c>
      <c r="E39" s="12">
        <v>44</v>
      </c>
      <c r="F39" s="8">
        <v>2.39</v>
      </c>
      <c r="G39" s="12">
        <v>10</v>
      </c>
      <c r="H39" s="8">
        <v>0.71</v>
      </c>
      <c r="I39" s="12">
        <v>0</v>
      </c>
    </row>
    <row r="40" spans="2:9" ht="15" customHeight="1" x14ac:dyDescent="0.2">
      <c r="B40" t="s">
        <v>99</v>
      </c>
      <c r="C40" s="12">
        <v>53</v>
      </c>
      <c r="D40" s="8">
        <v>1.61</v>
      </c>
      <c r="E40" s="12">
        <v>12</v>
      </c>
      <c r="F40" s="8">
        <v>0.65</v>
      </c>
      <c r="G40" s="12">
        <v>41</v>
      </c>
      <c r="H40" s="8">
        <v>2.93</v>
      </c>
      <c r="I40" s="12">
        <v>0</v>
      </c>
    </row>
    <row r="41" spans="2:9" ht="15" customHeight="1" x14ac:dyDescent="0.2">
      <c r="B41" t="s">
        <v>94</v>
      </c>
      <c r="C41" s="12">
        <v>51</v>
      </c>
      <c r="D41" s="8">
        <v>1.55</v>
      </c>
      <c r="E41" s="12">
        <v>9</v>
      </c>
      <c r="F41" s="8">
        <v>0.49</v>
      </c>
      <c r="G41" s="12">
        <v>41</v>
      </c>
      <c r="H41" s="8">
        <v>2.93</v>
      </c>
      <c r="I41" s="12">
        <v>1</v>
      </c>
    </row>
    <row r="42" spans="2:9" ht="15" customHeight="1" x14ac:dyDescent="0.2">
      <c r="B42" t="s">
        <v>78</v>
      </c>
      <c r="C42" s="12">
        <v>44</v>
      </c>
      <c r="D42" s="8">
        <v>1.34</v>
      </c>
      <c r="E42" s="12">
        <v>8</v>
      </c>
      <c r="F42" s="8">
        <v>0.43</v>
      </c>
      <c r="G42" s="12">
        <v>36</v>
      </c>
      <c r="H42" s="8">
        <v>2.57</v>
      </c>
      <c r="I42" s="12">
        <v>0</v>
      </c>
    </row>
    <row r="43" spans="2:9" ht="15" customHeight="1" x14ac:dyDescent="0.2">
      <c r="B43" t="s">
        <v>97</v>
      </c>
      <c r="C43" s="12">
        <v>42</v>
      </c>
      <c r="D43" s="8">
        <v>1.28</v>
      </c>
      <c r="E43" s="12">
        <v>26</v>
      </c>
      <c r="F43" s="8">
        <v>1.41</v>
      </c>
      <c r="G43" s="12">
        <v>16</v>
      </c>
      <c r="H43" s="8">
        <v>1.1399999999999999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185</v>
      </c>
      <c r="D47" s="8">
        <v>5.62</v>
      </c>
      <c r="E47" s="12">
        <v>166</v>
      </c>
      <c r="F47" s="8">
        <v>9.02</v>
      </c>
      <c r="G47" s="12">
        <v>19</v>
      </c>
      <c r="H47" s="8">
        <v>1.36</v>
      </c>
      <c r="I47" s="12">
        <v>0</v>
      </c>
    </row>
    <row r="48" spans="2:9" ht="15" customHeight="1" x14ac:dyDescent="0.2">
      <c r="B48" t="s">
        <v>145</v>
      </c>
      <c r="C48" s="12">
        <v>153</v>
      </c>
      <c r="D48" s="8">
        <v>4.6399999999999997</v>
      </c>
      <c r="E48" s="12">
        <v>115</v>
      </c>
      <c r="F48" s="8">
        <v>6.25</v>
      </c>
      <c r="G48" s="12">
        <v>38</v>
      </c>
      <c r="H48" s="8">
        <v>2.72</v>
      </c>
      <c r="I48" s="12">
        <v>0</v>
      </c>
    </row>
    <row r="49" spans="2:9" ht="15" customHeight="1" x14ac:dyDescent="0.2">
      <c r="B49" t="s">
        <v>149</v>
      </c>
      <c r="C49" s="12">
        <v>126</v>
      </c>
      <c r="D49" s="8">
        <v>3.83</v>
      </c>
      <c r="E49" s="12">
        <v>118</v>
      </c>
      <c r="F49" s="8">
        <v>6.41</v>
      </c>
      <c r="G49" s="12">
        <v>8</v>
      </c>
      <c r="H49" s="8">
        <v>0.56999999999999995</v>
      </c>
      <c r="I49" s="12">
        <v>0</v>
      </c>
    </row>
    <row r="50" spans="2:9" ht="15" customHeight="1" x14ac:dyDescent="0.2">
      <c r="B50" t="s">
        <v>150</v>
      </c>
      <c r="C50" s="12">
        <v>104</v>
      </c>
      <c r="D50" s="8">
        <v>3.16</v>
      </c>
      <c r="E50" s="12">
        <v>102</v>
      </c>
      <c r="F50" s="8">
        <v>5.54</v>
      </c>
      <c r="G50" s="12">
        <v>2</v>
      </c>
      <c r="H50" s="8">
        <v>0.14000000000000001</v>
      </c>
      <c r="I50" s="12">
        <v>0</v>
      </c>
    </row>
    <row r="51" spans="2:9" ht="15" customHeight="1" x14ac:dyDescent="0.2">
      <c r="B51" t="s">
        <v>135</v>
      </c>
      <c r="C51" s="12">
        <v>91</v>
      </c>
      <c r="D51" s="8">
        <v>2.76</v>
      </c>
      <c r="E51" s="12">
        <v>18</v>
      </c>
      <c r="F51" s="8">
        <v>0.98</v>
      </c>
      <c r="G51" s="12">
        <v>73</v>
      </c>
      <c r="H51" s="8">
        <v>5.22</v>
      </c>
      <c r="I51" s="12">
        <v>0</v>
      </c>
    </row>
    <row r="52" spans="2:9" ht="15" customHeight="1" x14ac:dyDescent="0.2">
      <c r="B52" t="s">
        <v>148</v>
      </c>
      <c r="C52" s="12">
        <v>86</v>
      </c>
      <c r="D52" s="8">
        <v>2.61</v>
      </c>
      <c r="E52" s="12">
        <v>76</v>
      </c>
      <c r="F52" s="8">
        <v>4.13</v>
      </c>
      <c r="G52" s="12">
        <v>10</v>
      </c>
      <c r="H52" s="8">
        <v>0.71</v>
      </c>
      <c r="I52" s="12">
        <v>0</v>
      </c>
    </row>
    <row r="53" spans="2:9" ht="15" customHeight="1" x14ac:dyDescent="0.2">
      <c r="B53" t="s">
        <v>153</v>
      </c>
      <c r="C53" s="12">
        <v>83</v>
      </c>
      <c r="D53" s="8">
        <v>2.52</v>
      </c>
      <c r="E53" s="12">
        <v>75</v>
      </c>
      <c r="F53" s="8">
        <v>4.08</v>
      </c>
      <c r="G53" s="12">
        <v>8</v>
      </c>
      <c r="H53" s="8">
        <v>0.56999999999999995</v>
      </c>
      <c r="I53" s="12">
        <v>0</v>
      </c>
    </row>
    <row r="54" spans="2:9" ht="15" customHeight="1" x14ac:dyDescent="0.2">
      <c r="B54" t="s">
        <v>141</v>
      </c>
      <c r="C54" s="12">
        <v>74</v>
      </c>
      <c r="D54" s="8">
        <v>2.25</v>
      </c>
      <c r="E54" s="12">
        <v>50</v>
      </c>
      <c r="F54" s="8">
        <v>2.72</v>
      </c>
      <c r="G54" s="12">
        <v>24</v>
      </c>
      <c r="H54" s="8">
        <v>1.72</v>
      </c>
      <c r="I54" s="12">
        <v>0</v>
      </c>
    </row>
    <row r="55" spans="2:9" ht="15" customHeight="1" x14ac:dyDescent="0.2">
      <c r="B55" t="s">
        <v>140</v>
      </c>
      <c r="C55" s="12">
        <v>65</v>
      </c>
      <c r="D55" s="8">
        <v>1.97</v>
      </c>
      <c r="E55" s="12">
        <v>46</v>
      </c>
      <c r="F55" s="8">
        <v>2.5</v>
      </c>
      <c r="G55" s="12">
        <v>19</v>
      </c>
      <c r="H55" s="8">
        <v>1.36</v>
      </c>
      <c r="I55" s="12">
        <v>0</v>
      </c>
    </row>
    <row r="56" spans="2:9" ht="15" customHeight="1" x14ac:dyDescent="0.2">
      <c r="B56" t="s">
        <v>152</v>
      </c>
      <c r="C56" s="12">
        <v>65</v>
      </c>
      <c r="D56" s="8">
        <v>1.97</v>
      </c>
      <c r="E56" s="12">
        <v>54</v>
      </c>
      <c r="F56" s="8">
        <v>2.93</v>
      </c>
      <c r="G56" s="12">
        <v>11</v>
      </c>
      <c r="H56" s="8">
        <v>0.79</v>
      </c>
      <c r="I56" s="12">
        <v>0</v>
      </c>
    </row>
    <row r="57" spans="2:9" ht="15" customHeight="1" x14ac:dyDescent="0.2">
      <c r="B57" t="s">
        <v>138</v>
      </c>
      <c r="C57" s="12">
        <v>64</v>
      </c>
      <c r="D57" s="8">
        <v>1.94</v>
      </c>
      <c r="E57" s="12">
        <v>29</v>
      </c>
      <c r="F57" s="8">
        <v>1.58</v>
      </c>
      <c r="G57" s="12">
        <v>35</v>
      </c>
      <c r="H57" s="8">
        <v>2.5</v>
      </c>
      <c r="I57" s="12">
        <v>0</v>
      </c>
    </row>
    <row r="58" spans="2:9" ht="15" customHeight="1" x14ac:dyDescent="0.2">
      <c r="B58" t="s">
        <v>142</v>
      </c>
      <c r="C58" s="12">
        <v>63</v>
      </c>
      <c r="D58" s="8">
        <v>1.91</v>
      </c>
      <c r="E58" s="12">
        <v>15</v>
      </c>
      <c r="F58" s="8">
        <v>0.82</v>
      </c>
      <c r="G58" s="12">
        <v>48</v>
      </c>
      <c r="H58" s="8">
        <v>3.43</v>
      </c>
      <c r="I58" s="12">
        <v>0</v>
      </c>
    </row>
    <row r="59" spans="2:9" ht="15" customHeight="1" x14ac:dyDescent="0.2">
      <c r="B59" t="s">
        <v>147</v>
      </c>
      <c r="C59" s="12">
        <v>61</v>
      </c>
      <c r="D59" s="8">
        <v>1.85</v>
      </c>
      <c r="E59" s="12">
        <v>47</v>
      </c>
      <c r="F59" s="8">
        <v>2.5499999999999998</v>
      </c>
      <c r="G59" s="12">
        <v>14</v>
      </c>
      <c r="H59" s="8">
        <v>1</v>
      </c>
      <c r="I59" s="12">
        <v>0</v>
      </c>
    </row>
    <row r="60" spans="2:9" ht="15" customHeight="1" x14ac:dyDescent="0.2">
      <c r="B60" t="s">
        <v>143</v>
      </c>
      <c r="C60" s="12">
        <v>58</v>
      </c>
      <c r="D60" s="8">
        <v>1.76</v>
      </c>
      <c r="E60" s="12">
        <v>43</v>
      </c>
      <c r="F60" s="8">
        <v>2.34</v>
      </c>
      <c r="G60" s="12">
        <v>15</v>
      </c>
      <c r="H60" s="8">
        <v>1.07</v>
      </c>
      <c r="I60" s="12">
        <v>0</v>
      </c>
    </row>
    <row r="61" spans="2:9" ht="15" customHeight="1" x14ac:dyDescent="0.2">
      <c r="B61" t="s">
        <v>146</v>
      </c>
      <c r="C61" s="12">
        <v>57</v>
      </c>
      <c r="D61" s="8">
        <v>1.73</v>
      </c>
      <c r="E61" s="12">
        <v>20</v>
      </c>
      <c r="F61" s="8">
        <v>1.0900000000000001</v>
      </c>
      <c r="G61" s="12">
        <v>36</v>
      </c>
      <c r="H61" s="8">
        <v>2.57</v>
      </c>
      <c r="I61" s="12">
        <v>0</v>
      </c>
    </row>
    <row r="62" spans="2:9" ht="15" customHeight="1" x14ac:dyDescent="0.2">
      <c r="B62" t="s">
        <v>154</v>
      </c>
      <c r="C62" s="12">
        <v>54</v>
      </c>
      <c r="D62" s="8">
        <v>1.64</v>
      </c>
      <c r="E62" s="12">
        <v>44</v>
      </c>
      <c r="F62" s="8">
        <v>2.39</v>
      </c>
      <c r="G62" s="12">
        <v>10</v>
      </c>
      <c r="H62" s="8">
        <v>0.71</v>
      </c>
      <c r="I62" s="12">
        <v>0</v>
      </c>
    </row>
    <row r="63" spans="2:9" ht="15" customHeight="1" x14ac:dyDescent="0.2">
      <c r="B63" t="s">
        <v>167</v>
      </c>
      <c r="C63" s="12">
        <v>51</v>
      </c>
      <c r="D63" s="8">
        <v>1.55</v>
      </c>
      <c r="E63" s="12">
        <v>33</v>
      </c>
      <c r="F63" s="8">
        <v>1.79</v>
      </c>
      <c r="G63" s="12">
        <v>18</v>
      </c>
      <c r="H63" s="8">
        <v>1.29</v>
      </c>
      <c r="I63" s="12">
        <v>0</v>
      </c>
    </row>
    <row r="64" spans="2:9" ht="15" customHeight="1" x14ac:dyDescent="0.2">
      <c r="B64" t="s">
        <v>137</v>
      </c>
      <c r="C64" s="12">
        <v>45</v>
      </c>
      <c r="D64" s="8">
        <v>1.37</v>
      </c>
      <c r="E64" s="12">
        <v>31</v>
      </c>
      <c r="F64" s="8">
        <v>1.68</v>
      </c>
      <c r="G64" s="12">
        <v>14</v>
      </c>
      <c r="H64" s="8">
        <v>1</v>
      </c>
      <c r="I64" s="12">
        <v>0</v>
      </c>
    </row>
    <row r="65" spans="2:9" ht="15" customHeight="1" x14ac:dyDescent="0.2">
      <c r="B65" t="s">
        <v>136</v>
      </c>
      <c r="C65" s="12">
        <v>44</v>
      </c>
      <c r="D65" s="8">
        <v>1.34</v>
      </c>
      <c r="E65" s="12">
        <v>11</v>
      </c>
      <c r="F65" s="8">
        <v>0.6</v>
      </c>
      <c r="G65" s="12">
        <v>33</v>
      </c>
      <c r="H65" s="8">
        <v>2.36</v>
      </c>
      <c r="I65" s="12">
        <v>0</v>
      </c>
    </row>
    <row r="66" spans="2:9" ht="15" customHeight="1" x14ac:dyDescent="0.2">
      <c r="B66" t="s">
        <v>168</v>
      </c>
      <c r="C66" s="12">
        <v>43</v>
      </c>
      <c r="D66" s="8">
        <v>1.31</v>
      </c>
      <c r="E66" s="12">
        <v>11</v>
      </c>
      <c r="F66" s="8">
        <v>0.6</v>
      </c>
      <c r="G66" s="12">
        <v>32</v>
      </c>
      <c r="H66" s="8">
        <v>2.29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D824-2A15-456E-B77E-6B69B07CA74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107</v>
      </c>
      <c r="D6" s="8">
        <v>9.3800000000000008</v>
      </c>
      <c r="E6" s="12">
        <v>47</v>
      </c>
      <c r="F6" s="8">
        <v>6.65</v>
      </c>
      <c r="G6" s="12">
        <v>60</v>
      </c>
      <c r="H6" s="8">
        <v>14.18</v>
      </c>
      <c r="I6" s="12">
        <v>0</v>
      </c>
    </row>
    <row r="7" spans="2:9" ht="15" customHeight="1" x14ac:dyDescent="0.2">
      <c r="B7" t="s">
        <v>53</v>
      </c>
      <c r="C7" s="12">
        <v>58</v>
      </c>
      <c r="D7" s="8">
        <v>5.08</v>
      </c>
      <c r="E7" s="12">
        <v>28</v>
      </c>
      <c r="F7" s="8">
        <v>3.96</v>
      </c>
      <c r="G7" s="12">
        <v>30</v>
      </c>
      <c r="H7" s="8">
        <v>7.09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10</v>
      </c>
      <c r="D9" s="8">
        <v>0.88</v>
      </c>
      <c r="E9" s="12">
        <v>4</v>
      </c>
      <c r="F9" s="8">
        <v>0.56999999999999995</v>
      </c>
      <c r="G9" s="12">
        <v>6</v>
      </c>
      <c r="H9" s="8">
        <v>1.42</v>
      </c>
      <c r="I9" s="12">
        <v>0</v>
      </c>
    </row>
    <row r="10" spans="2:9" ht="15" customHeight="1" x14ac:dyDescent="0.2">
      <c r="B10" t="s">
        <v>56</v>
      </c>
      <c r="C10" s="12">
        <v>7</v>
      </c>
      <c r="D10" s="8">
        <v>0.61</v>
      </c>
      <c r="E10" s="12">
        <v>1</v>
      </c>
      <c r="F10" s="8">
        <v>0.14000000000000001</v>
      </c>
      <c r="G10" s="12">
        <v>6</v>
      </c>
      <c r="H10" s="8">
        <v>1.42</v>
      </c>
      <c r="I10" s="12">
        <v>0</v>
      </c>
    </row>
    <row r="11" spans="2:9" ht="15" customHeight="1" x14ac:dyDescent="0.2">
      <c r="B11" t="s">
        <v>57</v>
      </c>
      <c r="C11" s="12">
        <v>276</v>
      </c>
      <c r="D11" s="8">
        <v>24.19</v>
      </c>
      <c r="E11" s="12">
        <v>138</v>
      </c>
      <c r="F11" s="8">
        <v>19.52</v>
      </c>
      <c r="G11" s="12">
        <v>137</v>
      </c>
      <c r="H11" s="8">
        <v>32.39</v>
      </c>
      <c r="I11" s="12">
        <v>1</v>
      </c>
    </row>
    <row r="12" spans="2:9" ht="15" customHeight="1" x14ac:dyDescent="0.2">
      <c r="B12" t="s">
        <v>58</v>
      </c>
      <c r="C12" s="12">
        <v>17</v>
      </c>
      <c r="D12" s="8">
        <v>1.49</v>
      </c>
      <c r="E12" s="12">
        <v>3</v>
      </c>
      <c r="F12" s="8">
        <v>0.42</v>
      </c>
      <c r="G12" s="12">
        <v>14</v>
      </c>
      <c r="H12" s="8">
        <v>3.31</v>
      </c>
      <c r="I12" s="12">
        <v>0</v>
      </c>
    </row>
    <row r="13" spans="2:9" ht="15" customHeight="1" x14ac:dyDescent="0.2">
      <c r="B13" t="s">
        <v>59</v>
      </c>
      <c r="C13" s="12">
        <v>94</v>
      </c>
      <c r="D13" s="8">
        <v>8.24</v>
      </c>
      <c r="E13" s="12">
        <v>52</v>
      </c>
      <c r="F13" s="8">
        <v>7.36</v>
      </c>
      <c r="G13" s="12">
        <v>41</v>
      </c>
      <c r="H13" s="8">
        <v>9.69</v>
      </c>
      <c r="I13" s="12">
        <v>0</v>
      </c>
    </row>
    <row r="14" spans="2:9" ht="15" customHeight="1" x14ac:dyDescent="0.2">
      <c r="B14" t="s">
        <v>60</v>
      </c>
      <c r="C14" s="12">
        <v>56</v>
      </c>
      <c r="D14" s="8">
        <v>4.91</v>
      </c>
      <c r="E14" s="12">
        <v>30</v>
      </c>
      <c r="F14" s="8">
        <v>4.24</v>
      </c>
      <c r="G14" s="12">
        <v>25</v>
      </c>
      <c r="H14" s="8">
        <v>5.91</v>
      </c>
      <c r="I14" s="12">
        <v>0</v>
      </c>
    </row>
    <row r="15" spans="2:9" ht="15" customHeight="1" x14ac:dyDescent="0.2">
      <c r="B15" t="s">
        <v>61</v>
      </c>
      <c r="C15" s="12">
        <v>223</v>
      </c>
      <c r="D15" s="8">
        <v>19.54</v>
      </c>
      <c r="E15" s="12">
        <v>192</v>
      </c>
      <c r="F15" s="8">
        <v>27.16</v>
      </c>
      <c r="G15" s="12">
        <v>30</v>
      </c>
      <c r="H15" s="8">
        <v>7.09</v>
      </c>
      <c r="I15" s="12">
        <v>0</v>
      </c>
    </row>
    <row r="16" spans="2:9" ht="15" customHeight="1" x14ac:dyDescent="0.2">
      <c r="B16" t="s">
        <v>62</v>
      </c>
      <c r="C16" s="12">
        <v>171</v>
      </c>
      <c r="D16" s="8">
        <v>14.99</v>
      </c>
      <c r="E16" s="12">
        <v>137</v>
      </c>
      <c r="F16" s="8">
        <v>19.38</v>
      </c>
      <c r="G16" s="12">
        <v>33</v>
      </c>
      <c r="H16" s="8">
        <v>7.8</v>
      </c>
      <c r="I16" s="12">
        <v>0</v>
      </c>
    </row>
    <row r="17" spans="2:9" ht="15" customHeight="1" x14ac:dyDescent="0.2">
      <c r="B17" t="s">
        <v>63</v>
      </c>
      <c r="C17" s="12">
        <v>43</v>
      </c>
      <c r="D17" s="8">
        <v>3.77</v>
      </c>
      <c r="E17" s="12">
        <v>33</v>
      </c>
      <c r="F17" s="8">
        <v>4.67</v>
      </c>
      <c r="G17" s="12">
        <v>5</v>
      </c>
      <c r="H17" s="8">
        <v>1.18</v>
      </c>
      <c r="I17" s="12">
        <v>0</v>
      </c>
    </row>
    <row r="18" spans="2:9" ht="15" customHeight="1" x14ac:dyDescent="0.2">
      <c r="B18" t="s">
        <v>64</v>
      </c>
      <c r="C18" s="12">
        <v>45</v>
      </c>
      <c r="D18" s="8">
        <v>3.94</v>
      </c>
      <c r="E18" s="12">
        <v>30</v>
      </c>
      <c r="F18" s="8">
        <v>4.24</v>
      </c>
      <c r="G18" s="12">
        <v>15</v>
      </c>
      <c r="H18" s="8">
        <v>3.55</v>
      </c>
      <c r="I18" s="12">
        <v>0</v>
      </c>
    </row>
    <row r="19" spans="2:9" ht="15" customHeight="1" x14ac:dyDescent="0.2">
      <c r="B19" t="s">
        <v>65</v>
      </c>
      <c r="C19" s="12">
        <v>34</v>
      </c>
      <c r="D19" s="8">
        <v>2.98</v>
      </c>
      <c r="E19" s="12">
        <v>12</v>
      </c>
      <c r="F19" s="8">
        <v>1.7</v>
      </c>
      <c r="G19" s="12">
        <v>21</v>
      </c>
      <c r="H19" s="8">
        <v>4.96</v>
      </c>
      <c r="I19" s="12">
        <v>0</v>
      </c>
    </row>
    <row r="20" spans="2:9" ht="15" customHeight="1" x14ac:dyDescent="0.2">
      <c r="B20" s="9" t="s">
        <v>281</v>
      </c>
      <c r="C20" s="12">
        <f>SUM(LTBL_43203[総数／事業所数])</f>
        <v>1141</v>
      </c>
      <c r="E20" s="12">
        <f>SUBTOTAL(109,LTBL_43203[個人／事業所数])</f>
        <v>707</v>
      </c>
      <c r="G20" s="12">
        <f>SUBTOTAL(109,LTBL_43203[法人／事業所数])</f>
        <v>423</v>
      </c>
      <c r="I20" s="12">
        <f>SUBTOTAL(109,LTBL_43203[法人以外の団体／事業所数])</f>
        <v>1</v>
      </c>
    </row>
    <row r="21" spans="2:9" ht="15" customHeight="1" x14ac:dyDescent="0.2">
      <c r="E21" s="11">
        <f>LTBL_43203[[#Totals],[個人／事業所数]]/LTBL_43203[[#Totals],[総数／事業所数]]</f>
        <v>0.61963190184049077</v>
      </c>
      <c r="G21" s="11">
        <f>LTBL_43203[[#Totals],[法人／事業所数]]/LTBL_43203[[#Totals],[総数／事業所数]]</f>
        <v>0.37072743207712533</v>
      </c>
      <c r="I21" s="11">
        <f>LTBL_43203[[#Totals],[法人以外の団体／事業所数]]/LTBL_43203[[#Totals],[総数／事業所数]]</f>
        <v>8.7642418930762491E-4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198</v>
      </c>
      <c r="D24" s="8">
        <v>17.350000000000001</v>
      </c>
      <c r="E24" s="12">
        <v>180</v>
      </c>
      <c r="F24" s="8">
        <v>25.46</v>
      </c>
      <c r="G24" s="12">
        <v>18</v>
      </c>
      <c r="H24" s="8">
        <v>4.26</v>
      </c>
      <c r="I24" s="12">
        <v>0</v>
      </c>
    </row>
    <row r="25" spans="2:9" ht="15" customHeight="1" x14ac:dyDescent="0.2">
      <c r="B25" t="s">
        <v>89</v>
      </c>
      <c r="C25" s="12">
        <v>143</v>
      </c>
      <c r="D25" s="8">
        <v>12.53</v>
      </c>
      <c r="E25" s="12">
        <v>122</v>
      </c>
      <c r="F25" s="8">
        <v>17.260000000000002</v>
      </c>
      <c r="G25" s="12">
        <v>21</v>
      </c>
      <c r="H25" s="8">
        <v>4.96</v>
      </c>
      <c r="I25" s="12">
        <v>0</v>
      </c>
    </row>
    <row r="26" spans="2:9" ht="15" customHeight="1" x14ac:dyDescent="0.2">
      <c r="B26" t="s">
        <v>83</v>
      </c>
      <c r="C26" s="12">
        <v>82</v>
      </c>
      <c r="D26" s="8">
        <v>7.19</v>
      </c>
      <c r="E26" s="12">
        <v>41</v>
      </c>
      <c r="F26" s="8">
        <v>5.8</v>
      </c>
      <c r="G26" s="12">
        <v>41</v>
      </c>
      <c r="H26" s="8">
        <v>9.69</v>
      </c>
      <c r="I26" s="12">
        <v>0</v>
      </c>
    </row>
    <row r="27" spans="2:9" ht="15" customHeight="1" x14ac:dyDescent="0.2">
      <c r="B27" t="s">
        <v>85</v>
      </c>
      <c r="C27" s="12">
        <v>69</v>
      </c>
      <c r="D27" s="8">
        <v>6.05</v>
      </c>
      <c r="E27" s="12">
        <v>41</v>
      </c>
      <c r="F27" s="8">
        <v>5.8</v>
      </c>
      <c r="G27" s="12">
        <v>27</v>
      </c>
      <c r="H27" s="8">
        <v>6.38</v>
      </c>
      <c r="I27" s="12">
        <v>0</v>
      </c>
    </row>
    <row r="28" spans="2:9" ht="15" customHeight="1" x14ac:dyDescent="0.2">
      <c r="B28" t="s">
        <v>81</v>
      </c>
      <c r="C28" s="12">
        <v>52</v>
      </c>
      <c r="D28" s="8">
        <v>4.5599999999999996</v>
      </c>
      <c r="E28" s="12">
        <v>30</v>
      </c>
      <c r="F28" s="8">
        <v>4.24</v>
      </c>
      <c r="G28" s="12">
        <v>21</v>
      </c>
      <c r="H28" s="8">
        <v>4.96</v>
      </c>
      <c r="I28" s="12">
        <v>1</v>
      </c>
    </row>
    <row r="29" spans="2:9" ht="15" customHeight="1" x14ac:dyDescent="0.2">
      <c r="B29" t="s">
        <v>74</v>
      </c>
      <c r="C29" s="12">
        <v>47</v>
      </c>
      <c r="D29" s="8">
        <v>4.12</v>
      </c>
      <c r="E29" s="12">
        <v>17</v>
      </c>
      <c r="F29" s="8">
        <v>2.4</v>
      </c>
      <c r="G29" s="12">
        <v>30</v>
      </c>
      <c r="H29" s="8">
        <v>7.09</v>
      </c>
      <c r="I29" s="12">
        <v>0</v>
      </c>
    </row>
    <row r="30" spans="2:9" ht="15" customHeight="1" x14ac:dyDescent="0.2">
      <c r="B30" t="s">
        <v>90</v>
      </c>
      <c r="C30" s="12">
        <v>43</v>
      </c>
      <c r="D30" s="8">
        <v>3.77</v>
      </c>
      <c r="E30" s="12">
        <v>33</v>
      </c>
      <c r="F30" s="8">
        <v>4.67</v>
      </c>
      <c r="G30" s="12">
        <v>5</v>
      </c>
      <c r="H30" s="8">
        <v>1.18</v>
      </c>
      <c r="I30" s="12">
        <v>0</v>
      </c>
    </row>
    <row r="31" spans="2:9" ht="15" customHeight="1" x14ac:dyDescent="0.2">
      <c r="B31" t="s">
        <v>82</v>
      </c>
      <c r="C31" s="12">
        <v>42</v>
      </c>
      <c r="D31" s="8">
        <v>3.68</v>
      </c>
      <c r="E31" s="12">
        <v>29</v>
      </c>
      <c r="F31" s="8">
        <v>4.0999999999999996</v>
      </c>
      <c r="G31" s="12">
        <v>13</v>
      </c>
      <c r="H31" s="8">
        <v>3.07</v>
      </c>
      <c r="I31" s="12">
        <v>0</v>
      </c>
    </row>
    <row r="32" spans="2:9" ht="15" customHeight="1" x14ac:dyDescent="0.2">
      <c r="B32" t="s">
        <v>80</v>
      </c>
      <c r="C32" s="12">
        <v>40</v>
      </c>
      <c r="D32" s="8">
        <v>3.51</v>
      </c>
      <c r="E32" s="12">
        <v>16</v>
      </c>
      <c r="F32" s="8">
        <v>2.2599999999999998</v>
      </c>
      <c r="G32" s="12">
        <v>24</v>
      </c>
      <c r="H32" s="8">
        <v>5.67</v>
      </c>
      <c r="I32" s="12">
        <v>0</v>
      </c>
    </row>
    <row r="33" spans="2:9" ht="15" customHeight="1" x14ac:dyDescent="0.2">
      <c r="B33" t="s">
        <v>91</v>
      </c>
      <c r="C33" s="12">
        <v>38</v>
      </c>
      <c r="D33" s="8">
        <v>3.33</v>
      </c>
      <c r="E33" s="12">
        <v>30</v>
      </c>
      <c r="F33" s="8">
        <v>4.24</v>
      </c>
      <c r="G33" s="12">
        <v>8</v>
      </c>
      <c r="H33" s="8">
        <v>1.89</v>
      </c>
      <c r="I33" s="12">
        <v>0</v>
      </c>
    </row>
    <row r="34" spans="2:9" ht="15" customHeight="1" x14ac:dyDescent="0.2">
      <c r="B34" t="s">
        <v>75</v>
      </c>
      <c r="C34" s="12">
        <v>34</v>
      </c>
      <c r="D34" s="8">
        <v>2.98</v>
      </c>
      <c r="E34" s="12">
        <v>19</v>
      </c>
      <c r="F34" s="8">
        <v>2.69</v>
      </c>
      <c r="G34" s="12">
        <v>15</v>
      </c>
      <c r="H34" s="8">
        <v>3.55</v>
      </c>
      <c r="I34" s="12">
        <v>0</v>
      </c>
    </row>
    <row r="35" spans="2:9" ht="15" customHeight="1" x14ac:dyDescent="0.2">
      <c r="B35" t="s">
        <v>87</v>
      </c>
      <c r="C35" s="12">
        <v>33</v>
      </c>
      <c r="D35" s="8">
        <v>2.89</v>
      </c>
      <c r="E35" s="12">
        <v>14</v>
      </c>
      <c r="F35" s="8">
        <v>1.98</v>
      </c>
      <c r="G35" s="12">
        <v>18</v>
      </c>
      <c r="H35" s="8">
        <v>4.26</v>
      </c>
      <c r="I35" s="12">
        <v>0</v>
      </c>
    </row>
    <row r="36" spans="2:9" ht="15" customHeight="1" x14ac:dyDescent="0.2">
      <c r="B36" t="s">
        <v>76</v>
      </c>
      <c r="C36" s="12">
        <v>26</v>
      </c>
      <c r="D36" s="8">
        <v>2.2799999999999998</v>
      </c>
      <c r="E36" s="12">
        <v>11</v>
      </c>
      <c r="F36" s="8">
        <v>1.56</v>
      </c>
      <c r="G36" s="12">
        <v>15</v>
      </c>
      <c r="H36" s="8">
        <v>3.55</v>
      </c>
      <c r="I36" s="12">
        <v>0</v>
      </c>
    </row>
    <row r="37" spans="2:9" ht="15" customHeight="1" x14ac:dyDescent="0.2">
      <c r="B37" t="s">
        <v>86</v>
      </c>
      <c r="C37" s="12">
        <v>21</v>
      </c>
      <c r="D37" s="8">
        <v>1.84</v>
      </c>
      <c r="E37" s="12">
        <v>16</v>
      </c>
      <c r="F37" s="8">
        <v>2.2599999999999998</v>
      </c>
      <c r="G37" s="12">
        <v>5</v>
      </c>
      <c r="H37" s="8">
        <v>1.18</v>
      </c>
      <c r="I37" s="12">
        <v>0</v>
      </c>
    </row>
    <row r="38" spans="2:9" ht="15" customHeight="1" x14ac:dyDescent="0.2">
      <c r="B38" t="s">
        <v>79</v>
      </c>
      <c r="C38" s="12">
        <v>18</v>
      </c>
      <c r="D38" s="8">
        <v>1.58</v>
      </c>
      <c r="E38" s="12">
        <v>4</v>
      </c>
      <c r="F38" s="8">
        <v>0.56999999999999995</v>
      </c>
      <c r="G38" s="12">
        <v>14</v>
      </c>
      <c r="H38" s="8">
        <v>3.31</v>
      </c>
      <c r="I38" s="12">
        <v>0</v>
      </c>
    </row>
    <row r="39" spans="2:9" ht="15" customHeight="1" x14ac:dyDescent="0.2">
      <c r="B39" t="s">
        <v>96</v>
      </c>
      <c r="C39" s="12">
        <v>17</v>
      </c>
      <c r="D39" s="8">
        <v>1.49</v>
      </c>
      <c r="E39" s="12">
        <v>3</v>
      </c>
      <c r="F39" s="8">
        <v>0.42</v>
      </c>
      <c r="G39" s="12">
        <v>14</v>
      </c>
      <c r="H39" s="8">
        <v>3.31</v>
      </c>
      <c r="I39" s="12">
        <v>0</v>
      </c>
    </row>
    <row r="40" spans="2:9" ht="15" customHeight="1" x14ac:dyDescent="0.2">
      <c r="B40" t="s">
        <v>84</v>
      </c>
      <c r="C40" s="12">
        <v>15</v>
      </c>
      <c r="D40" s="8">
        <v>1.31</v>
      </c>
      <c r="E40" s="12">
        <v>8</v>
      </c>
      <c r="F40" s="8">
        <v>1.1299999999999999</v>
      </c>
      <c r="G40" s="12">
        <v>7</v>
      </c>
      <c r="H40" s="8">
        <v>1.65</v>
      </c>
      <c r="I40" s="12">
        <v>0</v>
      </c>
    </row>
    <row r="41" spans="2:9" ht="15" customHeight="1" x14ac:dyDescent="0.2">
      <c r="B41" t="s">
        <v>98</v>
      </c>
      <c r="C41" s="12">
        <v>14</v>
      </c>
      <c r="D41" s="8">
        <v>1.23</v>
      </c>
      <c r="E41" s="12">
        <v>6</v>
      </c>
      <c r="F41" s="8">
        <v>0.85</v>
      </c>
      <c r="G41" s="12">
        <v>8</v>
      </c>
      <c r="H41" s="8">
        <v>1.89</v>
      </c>
      <c r="I41" s="12">
        <v>0</v>
      </c>
    </row>
    <row r="42" spans="2:9" ht="15" customHeight="1" x14ac:dyDescent="0.2">
      <c r="B42" t="s">
        <v>97</v>
      </c>
      <c r="C42" s="12">
        <v>14</v>
      </c>
      <c r="D42" s="8">
        <v>1.23</v>
      </c>
      <c r="E42" s="12">
        <v>7</v>
      </c>
      <c r="F42" s="8">
        <v>0.99</v>
      </c>
      <c r="G42" s="12">
        <v>7</v>
      </c>
      <c r="H42" s="8">
        <v>1.65</v>
      </c>
      <c r="I42" s="12">
        <v>0</v>
      </c>
    </row>
    <row r="43" spans="2:9" ht="15" customHeight="1" x14ac:dyDescent="0.2">
      <c r="B43" t="s">
        <v>100</v>
      </c>
      <c r="C43" s="12">
        <v>14</v>
      </c>
      <c r="D43" s="8">
        <v>1.23</v>
      </c>
      <c r="E43" s="12">
        <v>8</v>
      </c>
      <c r="F43" s="8">
        <v>1.1299999999999999</v>
      </c>
      <c r="G43" s="12">
        <v>5</v>
      </c>
      <c r="H43" s="8">
        <v>1.18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149</v>
      </c>
      <c r="C47" s="12">
        <v>81</v>
      </c>
      <c r="D47" s="8">
        <v>7.1</v>
      </c>
      <c r="E47" s="12">
        <v>78</v>
      </c>
      <c r="F47" s="8">
        <v>11.03</v>
      </c>
      <c r="G47" s="12">
        <v>3</v>
      </c>
      <c r="H47" s="8">
        <v>0.71</v>
      </c>
      <c r="I47" s="12">
        <v>0</v>
      </c>
    </row>
    <row r="48" spans="2:9" ht="15" customHeight="1" x14ac:dyDescent="0.2">
      <c r="B48" t="s">
        <v>151</v>
      </c>
      <c r="C48" s="12">
        <v>64</v>
      </c>
      <c r="D48" s="8">
        <v>5.61</v>
      </c>
      <c r="E48" s="12">
        <v>60</v>
      </c>
      <c r="F48" s="8">
        <v>8.49</v>
      </c>
      <c r="G48" s="12">
        <v>4</v>
      </c>
      <c r="H48" s="8">
        <v>0.95</v>
      </c>
      <c r="I48" s="12">
        <v>0</v>
      </c>
    </row>
    <row r="49" spans="2:9" ht="15" customHeight="1" x14ac:dyDescent="0.2">
      <c r="B49" t="s">
        <v>145</v>
      </c>
      <c r="C49" s="12">
        <v>46</v>
      </c>
      <c r="D49" s="8">
        <v>4.03</v>
      </c>
      <c r="E49" s="12">
        <v>35</v>
      </c>
      <c r="F49" s="8">
        <v>4.95</v>
      </c>
      <c r="G49" s="12">
        <v>10</v>
      </c>
      <c r="H49" s="8">
        <v>2.36</v>
      </c>
      <c r="I49" s="12">
        <v>0</v>
      </c>
    </row>
    <row r="50" spans="2:9" ht="15" customHeight="1" x14ac:dyDescent="0.2">
      <c r="B50" t="s">
        <v>150</v>
      </c>
      <c r="C50" s="12">
        <v>43</v>
      </c>
      <c r="D50" s="8">
        <v>3.77</v>
      </c>
      <c r="E50" s="12">
        <v>41</v>
      </c>
      <c r="F50" s="8">
        <v>5.8</v>
      </c>
      <c r="G50" s="12">
        <v>2</v>
      </c>
      <c r="H50" s="8">
        <v>0.47</v>
      </c>
      <c r="I50" s="12">
        <v>0</v>
      </c>
    </row>
    <row r="51" spans="2:9" ht="15" customHeight="1" x14ac:dyDescent="0.2">
      <c r="B51" t="s">
        <v>148</v>
      </c>
      <c r="C51" s="12">
        <v>40</v>
      </c>
      <c r="D51" s="8">
        <v>3.51</v>
      </c>
      <c r="E51" s="12">
        <v>37</v>
      </c>
      <c r="F51" s="8">
        <v>5.23</v>
      </c>
      <c r="G51" s="12">
        <v>3</v>
      </c>
      <c r="H51" s="8">
        <v>0.71</v>
      </c>
      <c r="I51" s="12">
        <v>0</v>
      </c>
    </row>
    <row r="52" spans="2:9" ht="15" customHeight="1" x14ac:dyDescent="0.2">
      <c r="B52" t="s">
        <v>147</v>
      </c>
      <c r="C52" s="12">
        <v>37</v>
      </c>
      <c r="D52" s="8">
        <v>3.24</v>
      </c>
      <c r="E52" s="12">
        <v>31</v>
      </c>
      <c r="F52" s="8">
        <v>4.38</v>
      </c>
      <c r="G52" s="12">
        <v>6</v>
      </c>
      <c r="H52" s="8">
        <v>1.42</v>
      </c>
      <c r="I52" s="12">
        <v>0</v>
      </c>
    </row>
    <row r="53" spans="2:9" ht="15" customHeight="1" x14ac:dyDescent="0.2">
      <c r="B53" t="s">
        <v>152</v>
      </c>
      <c r="C53" s="12">
        <v>26</v>
      </c>
      <c r="D53" s="8">
        <v>2.2799999999999998</v>
      </c>
      <c r="E53" s="12">
        <v>23</v>
      </c>
      <c r="F53" s="8">
        <v>3.25</v>
      </c>
      <c r="G53" s="12">
        <v>3</v>
      </c>
      <c r="H53" s="8">
        <v>0.71</v>
      </c>
      <c r="I53" s="12">
        <v>0</v>
      </c>
    </row>
    <row r="54" spans="2:9" ht="15" customHeight="1" x14ac:dyDescent="0.2">
      <c r="B54" t="s">
        <v>153</v>
      </c>
      <c r="C54" s="12">
        <v>26</v>
      </c>
      <c r="D54" s="8">
        <v>2.2799999999999998</v>
      </c>
      <c r="E54" s="12">
        <v>24</v>
      </c>
      <c r="F54" s="8">
        <v>3.39</v>
      </c>
      <c r="G54" s="12">
        <v>2</v>
      </c>
      <c r="H54" s="8">
        <v>0.47</v>
      </c>
      <c r="I54" s="12">
        <v>0</v>
      </c>
    </row>
    <row r="55" spans="2:9" ht="15" customHeight="1" x14ac:dyDescent="0.2">
      <c r="B55" t="s">
        <v>140</v>
      </c>
      <c r="C55" s="12">
        <v>24</v>
      </c>
      <c r="D55" s="8">
        <v>2.1</v>
      </c>
      <c r="E55" s="12">
        <v>13</v>
      </c>
      <c r="F55" s="8">
        <v>1.84</v>
      </c>
      <c r="G55" s="12">
        <v>11</v>
      </c>
      <c r="H55" s="8">
        <v>2.6</v>
      </c>
      <c r="I55" s="12">
        <v>0</v>
      </c>
    </row>
    <row r="56" spans="2:9" ht="15" customHeight="1" x14ac:dyDescent="0.2">
      <c r="B56" t="s">
        <v>143</v>
      </c>
      <c r="C56" s="12">
        <v>23</v>
      </c>
      <c r="D56" s="8">
        <v>2.02</v>
      </c>
      <c r="E56" s="12">
        <v>16</v>
      </c>
      <c r="F56" s="8">
        <v>2.2599999999999998</v>
      </c>
      <c r="G56" s="12">
        <v>7</v>
      </c>
      <c r="H56" s="8">
        <v>1.65</v>
      </c>
      <c r="I56" s="12">
        <v>0</v>
      </c>
    </row>
    <row r="57" spans="2:9" ht="15" customHeight="1" x14ac:dyDescent="0.2">
      <c r="B57" t="s">
        <v>141</v>
      </c>
      <c r="C57" s="12">
        <v>21</v>
      </c>
      <c r="D57" s="8">
        <v>1.84</v>
      </c>
      <c r="E57" s="12">
        <v>15</v>
      </c>
      <c r="F57" s="8">
        <v>2.12</v>
      </c>
      <c r="G57" s="12">
        <v>6</v>
      </c>
      <c r="H57" s="8">
        <v>1.42</v>
      </c>
      <c r="I57" s="12">
        <v>0</v>
      </c>
    </row>
    <row r="58" spans="2:9" ht="15" customHeight="1" x14ac:dyDescent="0.2">
      <c r="B58" t="s">
        <v>142</v>
      </c>
      <c r="C58" s="12">
        <v>21</v>
      </c>
      <c r="D58" s="8">
        <v>1.84</v>
      </c>
      <c r="E58" s="12">
        <v>5</v>
      </c>
      <c r="F58" s="8">
        <v>0.71</v>
      </c>
      <c r="G58" s="12">
        <v>16</v>
      </c>
      <c r="H58" s="8">
        <v>3.78</v>
      </c>
      <c r="I58" s="12">
        <v>0</v>
      </c>
    </row>
    <row r="59" spans="2:9" ht="15" customHeight="1" x14ac:dyDescent="0.2">
      <c r="B59" t="s">
        <v>146</v>
      </c>
      <c r="C59" s="12">
        <v>21</v>
      </c>
      <c r="D59" s="8">
        <v>1.84</v>
      </c>
      <c r="E59" s="12">
        <v>8</v>
      </c>
      <c r="F59" s="8">
        <v>1.1299999999999999</v>
      </c>
      <c r="G59" s="12">
        <v>12</v>
      </c>
      <c r="H59" s="8">
        <v>2.84</v>
      </c>
      <c r="I59" s="12">
        <v>0</v>
      </c>
    </row>
    <row r="60" spans="2:9" ht="15" customHeight="1" x14ac:dyDescent="0.2">
      <c r="B60" t="s">
        <v>135</v>
      </c>
      <c r="C60" s="12">
        <v>19</v>
      </c>
      <c r="D60" s="8">
        <v>1.67</v>
      </c>
      <c r="E60" s="12">
        <v>4</v>
      </c>
      <c r="F60" s="8">
        <v>0.56999999999999995</v>
      </c>
      <c r="G60" s="12">
        <v>15</v>
      </c>
      <c r="H60" s="8">
        <v>3.55</v>
      </c>
      <c r="I60" s="12">
        <v>0</v>
      </c>
    </row>
    <row r="61" spans="2:9" ht="15" customHeight="1" x14ac:dyDescent="0.2">
      <c r="B61" t="s">
        <v>170</v>
      </c>
      <c r="C61" s="12">
        <v>19</v>
      </c>
      <c r="D61" s="8">
        <v>1.67</v>
      </c>
      <c r="E61" s="12">
        <v>15</v>
      </c>
      <c r="F61" s="8">
        <v>2.12</v>
      </c>
      <c r="G61" s="12">
        <v>4</v>
      </c>
      <c r="H61" s="8">
        <v>0.95</v>
      </c>
      <c r="I61" s="12">
        <v>0</v>
      </c>
    </row>
    <row r="62" spans="2:9" ht="15" customHeight="1" x14ac:dyDescent="0.2">
      <c r="B62" t="s">
        <v>138</v>
      </c>
      <c r="C62" s="12">
        <v>17</v>
      </c>
      <c r="D62" s="8">
        <v>1.49</v>
      </c>
      <c r="E62" s="12">
        <v>9</v>
      </c>
      <c r="F62" s="8">
        <v>1.27</v>
      </c>
      <c r="G62" s="12">
        <v>8</v>
      </c>
      <c r="H62" s="8">
        <v>1.89</v>
      </c>
      <c r="I62" s="12">
        <v>0</v>
      </c>
    </row>
    <row r="63" spans="2:9" ht="15" customHeight="1" x14ac:dyDescent="0.2">
      <c r="B63" t="s">
        <v>139</v>
      </c>
      <c r="C63" s="12">
        <v>17</v>
      </c>
      <c r="D63" s="8">
        <v>1.49</v>
      </c>
      <c r="E63" s="12">
        <v>8</v>
      </c>
      <c r="F63" s="8">
        <v>1.1299999999999999</v>
      </c>
      <c r="G63" s="12">
        <v>9</v>
      </c>
      <c r="H63" s="8">
        <v>2.13</v>
      </c>
      <c r="I63" s="12">
        <v>0</v>
      </c>
    </row>
    <row r="64" spans="2:9" ht="15" customHeight="1" x14ac:dyDescent="0.2">
      <c r="B64" t="s">
        <v>169</v>
      </c>
      <c r="C64" s="12">
        <v>17</v>
      </c>
      <c r="D64" s="8">
        <v>1.49</v>
      </c>
      <c r="E64" s="12">
        <v>3</v>
      </c>
      <c r="F64" s="8">
        <v>0.42</v>
      </c>
      <c r="G64" s="12">
        <v>14</v>
      </c>
      <c r="H64" s="8">
        <v>3.31</v>
      </c>
      <c r="I64" s="12">
        <v>0</v>
      </c>
    </row>
    <row r="65" spans="2:9" ht="15" customHeight="1" x14ac:dyDescent="0.2">
      <c r="B65" t="s">
        <v>167</v>
      </c>
      <c r="C65" s="12">
        <v>16</v>
      </c>
      <c r="D65" s="8">
        <v>1.4</v>
      </c>
      <c r="E65" s="12">
        <v>9</v>
      </c>
      <c r="F65" s="8">
        <v>1.27</v>
      </c>
      <c r="G65" s="12">
        <v>7</v>
      </c>
      <c r="H65" s="8">
        <v>1.65</v>
      </c>
      <c r="I65" s="12">
        <v>0</v>
      </c>
    </row>
    <row r="66" spans="2:9" ht="15" customHeight="1" x14ac:dyDescent="0.2">
      <c r="B66" t="s">
        <v>155</v>
      </c>
      <c r="C66" s="12">
        <v>14</v>
      </c>
      <c r="D66" s="8">
        <v>1.23</v>
      </c>
      <c r="E66" s="12">
        <v>7</v>
      </c>
      <c r="F66" s="8">
        <v>0.99</v>
      </c>
      <c r="G66" s="12">
        <v>7</v>
      </c>
      <c r="H66" s="8">
        <v>1.65</v>
      </c>
      <c r="I66" s="12">
        <v>0</v>
      </c>
    </row>
    <row r="67" spans="2:9" ht="15" customHeight="1" x14ac:dyDescent="0.2">
      <c r="B67" t="s">
        <v>160</v>
      </c>
      <c r="C67" s="12">
        <v>14</v>
      </c>
      <c r="D67" s="8">
        <v>1.23</v>
      </c>
      <c r="E67" s="12">
        <v>8</v>
      </c>
      <c r="F67" s="8">
        <v>1.1299999999999999</v>
      </c>
      <c r="G67" s="12">
        <v>6</v>
      </c>
      <c r="H67" s="8">
        <v>1.42</v>
      </c>
      <c r="I67" s="12">
        <v>0</v>
      </c>
    </row>
    <row r="68" spans="2:9" ht="15" customHeight="1" x14ac:dyDescent="0.2">
      <c r="B68" t="s">
        <v>161</v>
      </c>
      <c r="C68" s="12">
        <v>14</v>
      </c>
      <c r="D68" s="8">
        <v>1.23</v>
      </c>
      <c r="E68" s="12">
        <v>8</v>
      </c>
      <c r="F68" s="8">
        <v>1.1299999999999999</v>
      </c>
      <c r="G68" s="12">
        <v>6</v>
      </c>
      <c r="H68" s="8">
        <v>1.42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EF73-D123-4C0E-90DD-F356470D236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126</v>
      </c>
      <c r="D6" s="8">
        <v>13.68</v>
      </c>
      <c r="E6" s="12">
        <v>35</v>
      </c>
      <c r="F6" s="8">
        <v>6.93</v>
      </c>
      <c r="G6" s="12">
        <v>91</v>
      </c>
      <c r="H6" s="8">
        <v>22.47</v>
      </c>
      <c r="I6" s="12">
        <v>0</v>
      </c>
    </row>
    <row r="7" spans="2:9" ht="15" customHeight="1" x14ac:dyDescent="0.2">
      <c r="B7" t="s">
        <v>53</v>
      </c>
      <c r="C7" s="12">
        <v>47</v>
      </c>
      <c r="D7" s="8">
        <v>5.0999999999999996</v>
      </c>
      <c r="E7" s="12">
        <v>15</v>
      </c>
      <c r="F7" s="8">
        <v>2.97</v>
      </c>
      <c r="G7" s="12">
        <v>31</v>
      </c>
      <c r="H7" s="8">
        <v>7.65</v>
      </c>
      <c r="I7" s="12">
        <v>1</v>
      </c>
    </row>
    <row r="8" spans="2:9" ht="15" customHeight="1" x14ac:dyDescent="0.2">
      <c r="B8" t="s">
        <v>54</v>
      </c>
      <c r="C8" s="12">
        <v>3</v>
      </c>
      <c r="D8" s="8">
        <v>0.33</v>
      </c>
      <c r="E8" s="12">
        <v>0</v>
      </c>
      <c r="F8" s="8">
        <v>0</v>
      </c>
      <c r="G8" s="12">
        <v>3</v>
      </c>
      <c r="H8" s="8">
        <v>0.74</v>
      </c>
      <c r="I8" s="12">
        <v>0</v>
      </c>
    </row>
    <row r="9" spans="2:9" ht="15" customHeight="1" x14ac:dyDescent="0.2">
      <c r="B9" t="s">
        <v>55</v>
      </c>
      <c r="C9" s="12">
        <v>2</v>
      </c>
      <c r="D9" s="8">
        <v>0.22</v>
      </c>
      <c r="E9" s="12">
        <v>0</v>
      </c>
      <c r="F9" s="8">
        <v>0</v>
      </c>
      <c r="G9" s="12">
        <v>2</v>
      </c>
      <c r="H9" s="8">
        <v>0.49</v>
      </c>
      <c r="I9" s="12">
        <v>0</v>
      </c>
    </row>
    <row r="10" spans="2:9" ht="15" customHeight="1" x14ac:dyDescent="0.2">
      <c r="B10" t="s">
        <v>56</v>
      </c>
      <c r="C10" s="12">
        <v>9</v>
      </c>
      <c r="D10" s="8">
        <v>0.98</v>
      </c>
      <c r="E10" s="12">
        <v>6</v>
      </c>
      <c r="F10" s="8">
        <v>1.19</v>
      </c>
      <c r="G10" s="12">
        <v>3</v>
      </c>
      <c r="H10" s="8">
        <v>0.74</v>
      </c>
      <c r="I10" s="12">
        <v>0</v>
      </c>
    </row>
    <row r="11" spans="2:9" ht="15" customHeight="1" x14ac:dyDescent="0.2">
      <c r="B11" t="s">
        <v>57</v>
      </c>
      <c r="C11" s="12">
        <v>252</v>
      </c>
      <c r="D11" s="8">
        <v>27.36</v>
      </c>
      <c r="E11" s="12">
        <v>128</v>
      </c>
      <c r="F11" s="8">
        <v>25.35</v>
      </c>
      <c r="G11" s="12">
        <v>123</v>
      </c>
      <c r="H11" s="8">
        <v>30.37</v>
      </c>
      <c r="I11" s="12">
        <v>1</v>
      </c>
    </row>
    <row r="12" spans="2:9" ht="15" customHeight="1" x14ac:dyDescent="0.2">
      <c r="B12" t="s">
        <v>58</v>
      </c>
      <c r="C12" s="12">
        <v>5</v>
      </c>
      <c r="D12" s="8">
        <v>0.54</v>
      </c>
      <c r="E12" s="12">
        <v>1</v>
      </c>
      <c r="F12" s="8">
        <v>0.2</v>
      </c>
      <c r="G12" s="12">
        <v>4</v>
      </c>
      <c r="H12" s="8">
        <v>0.99</v>
      </c>
      <c r="I12" s="12">
        <v>0</v>
      </c>
    </row>
    <row r="13" spans="2:9" ht="15" customHeight="1" x14ac:dyDescent="0.2">
      <c r="B13" t="s">
        <v>59</v>
      </c>
      <c r="C13" s="12">
        <v>57</v>
      </c>
      <c r="D13" s="8">
        <v>6.19</v>
      </c>
      <c r="E13" s="12">
        <v>20</v>
      </c>
      <c r="F13" s="8">
        <v>3.96</v>
      </c>
      <c r="G13" s="12">
        <v>37</v>
      </c>
      <c r="H13" s="8">
        <v>9.14</v>
      </c>
      <c r="I13" s="12">
        <v>0</v>
      </c>
    </row>
    <row r="14" spans="2:9" ht="15" customHeight="1" x14ac:dyDescent="0.2">
      <c r="B14" t="s">
        <v>60</v>
      </c>
      <c r="C14" s="12">
        <v>30</v>
      </c>
      <c r="D14" s="8">
        <v>3.26</v>
      </c>
      <c r="E14" s="12">
        <v>17</v>
      </c>
      <c r="F14" s="8">
        <v>3.37</v>
      </c>
      <c r="G14" s="12">
        <v>12</v>
      </c>
      <c r="H14" s="8">
        <v>2.96</v>
      </c>
      <c r="I14" s="12">
        <v>1</v>
      </c>
    </row>
    <row r="15" spans="2:9" ht="15" customHeight="1" x14ac:dyDescent="0.2">
      <c r="B15" t="s">
        <v>61</v>
      </c>
      <c r="C15" s="12">
        <v>88</v>
      </c>
      <c r="D15" s="8">
        <v>9.5500000000000007</v>
      </c>
      <c r="E15" s="12">
        <v>65</v>
      </c>
      <c r="F15" s="8">
        <v>12.87</v>
      </c>
      <c r="G15" s="12">
        <v>22</v>
      </c>
      <c r="H15" s="8">
        <v>5.43</v>
      </c>
      <c r="I15" s="12">
        <v>0</v>
      </c>
    </row>
    <row r="16" spans="2:9" ht="15" customHeight="1" x14ac:dyDescent="0.2">
      <c r="B16" t="s">
        <v>62</v>
      </c>
      <c r="C16" s="12">
        <v>180</v>
      </c>
      <c r="D16" s="8">
        <v>19.54</v>
      </c>
      <c r="E16" s="12">
        <v>143</v>
      </c>
      <c r="F16" s="8">
        <v>28.32</v>
      </c>
      <c r="G16" s="12">
        <v>37</v>
      </c>
      <c r="H16" s="8">
        <v>9.14</v>
      </c>
      <c r="I16" s="12">
        <v>0</v>
      </c>
    </row>
    <row r="17" spans="2:9" ht="15" customHeight="1" x14ac:dyDescent="0.2">
      <c r="B17" t="s">
        <v>63</v>
      </c>
      <c r="C17" s="12">
        <v>34</v>
      </c>
      <c r="D17" s="8">
        <v>3.69</v>
      </c>
      <c r="E17" s="12">
        <v>23</v>
      </c>
      <c r="F17" s="8">
        <v>4.55</v>
      </c>
      <c r="G17" s="12">
        <v>8</v>
      </c>
      <c r="H17" s="8">
        <v>1.98</v>
      </c>
      <c r="I17" s="12">
        <v>0</v>
      </c>
    </row>
    <row r="18" spans="2:9" ht="15" customHeight="1" x14ac:dyDescent="0.2">
      <c r="B18" t="s">
        <v>64</v>
      </c>
      <c r="C18" s="12">
        <v>55</v>
      </c>
      <c r="D18" s="8">
        <v>5.97</v>
      </c>
      <c r="E18" s="12">
        <v>31</v>
      </c>
      <c r="F18" s="8">
        <v>6.14</v>
      </c>
      <c r="G18" s="12">
        <v>21</v>
      </c>
      <c r="H18" s="8">
        <v>5.19</v>
      </c>
      <c r="I18" s="12">
        <v>0</v>
      </c>
    </row>
    <row r="19" spans="2:9" ht="15" customHeight="1" x14ac:dyDescent="0.2">
      <c r="B19" t="s">
        <v>65</v>
      </c>
      <c r="C19" s="12">
        <v>33</v>
      </c>
      <c r="D19" s="8">
        <v>3.58</v>
      </c>
      <c r="E19" s="12">
        <v>21</v>
      </c>
      <c r="F19" s="8">
        <v>4.16</v>
      </c>
      <c r="G19" s="12">
        <v>11</v>
      </c>
      <c r="H19" s="8">
        <v>2.72</v>
      </c>
      <c r="I19" s="12">
        <v>0</v>
      </c>
    </row>
    <row r="20" spans="2:9" ht="15" customHeight="1" x14ac:dyDescent="0.2">
      <c r="B20" s="9" t="s">
        <v>281</v>
      </c>
      <c r="C20" s="12">
        <f>SUM(LTBL_43204[総数／事業所数])</f>
        <v>921</v>
      </c>
      <c r="E20" s="12">
        <f>SUBTOTAL(109,LTBL_43204[個人／事業所数])</f>
        <v>505</v>
      </c>
      <c r="G20" s="12">
        <f>SUBTOTAL(109,LTBL_43204[法人／事業所数])</f>
        <v>405</v>
      </c>
      <c r="I20" s="12">
        <f>SUBTOTAL(109,LTBL_43204[法人以外の団体／事業所数])</f>
        <v>3</v>
      </c>
    </row>
    <row r="21" spans="2:9" ht="15" customHeight="1" x14ac:dyDescent="0.2">
      <c r="E21" s="11">
        <f>LTBL_43204[[#Totals],[個人／事業所数]]/LTBL_43204[[#Totals],[総数／事業所数]]</f>
        <v>0.54831704668838221</v>
      </c>
      <c r="G21" s="11">
        <f>LTBL_43204[[#Totals],[法人／事業所数]]/LTBL_43204[[#Totals],[総数／事業所数]]</f>
        <v>0.43973941368078173</v>
      </c>
      <c r="I21" s="11">
        <f>LTBL_43204[[#Totals],[法人以外の団体／事業所数]]/LTBL_43204[[#Totals],[総数／事業所数]]</f>
        <v>3.2573289902280132E-3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150</v>
      </c>
      <c r="D24" s="8">
        <v>16.29</v>
      </c>
      <c r="E24" s="12">
        <v>130</v>
      </c>
      <c r="F24" s="8">
        <v>25.74</v>
      </c>
      <c r="G24" s="12">
        <v>20</v>
      </c>
      <c r="H24" s="8">
        <v>4.9400000000000004</v>
      </c>
      <c r="I24" s="12">
        <v>0</v>
      </c>
    </row>
    <row r="25" spans="2:9" ht="15" customHeight="1" x14ac:dyDescent="0.2">
      <c r="B25" t="s">
        <v>83</v>
      </c>
      <c r="C25" s="12">
        <v>76</v>
      </c>
      <c r="D25" s="8">
        <v>8.25</v>
      </c>
      <c r="E25" s="12">
        <v>38</v>
      </c>
      <c r="F25" s="8">
        <v>7.52</v>
      </c>
      <c r="G25" s="12">
        <v>38</v>
      </c>
      <c r="H25" s="8">
        <v>9.3800000000000008</v>
      </c>
      <c r="I25" s="12">
        <v>0</v>
      </c>
    </row>
    <row r="26" spans="2:9" ht="15" customHeight="1" x14ac:dyDescent="0.2">
      <c r="B26" t="s">
        <v>88</v>
      </c>
      <c r="C26" s="12">
        <v>69</v>
      </c>
      <c r="D26" s="8">
        <v>7.49</v>
      </c>
      <c r="E26" s="12">
        <v>58</v>
      </c>
      <c r="F26" s="8">
        <v>11.49</v>
      </c>
      <c r="G26" s="12">
        <v>11</v>
      </c>
      <c r="H26" s="8">
        <v>2.72</v>
      </c>
      <c r="I26" s="12">
        <v>0</v>
      </c>
    </row>
    <row r="27" spans="2:9" ht="15" customHeight="1" x14ac:dyDescent="0.2">
      <c r="B27" t="s">
        <v>74</v>
      </c>
      <c r="C27" s="12">
        <v>64</v>
      </c>
      <c r="D27" s="8">
        <v>6.95</v>
      </c>
      <c r="E27" s="12">
        <v>15</v>
      </c>
      <c r="F27" s="8">
        <v>2.97</v>
      </c>
      <c r="G27" s="12">
        <v>49</v>
      </c>
      <c r="H27" s="8">
        <v>12.1</v>
      </c>
      <c r="I27" s="12">
        <v>0</v>
      </c>
    </row>
    <row r="28" spans="2:9" ht="15" customHeight="1" x14ac:dyDescent="0.2">
      <c r="B28" t="s">
        <v>81</v>
      </c>
      <c r="C28" s="12">
        <v>56</v>
      </c>
      <c r="D28" s="8">
        <v>6.08</v>
      </c>
      <c r="E28" s="12">
        <v>38</v>
      </c>
      <c r="F28" s="8">
        <v>7.52</v>
      </c>
      <c r="G28" s="12">
        <v>17</v>
      </c>
      <c r="H28" s="8">
        <v>4.2</v>
      </c>
      <c r="I28" s="12">
        <v>1</v>
      </c>
    </row>
    <row r="29" spans="2:9" ht="15" customHeight="1" x14ac:dyDescent="0.2">
      <c r="B29" t="s">
        <v>82</v>
      </c>
      <c r="C29" s="12">
        <v>47</v>
      </c>
      <c r="D29" s="8">
        <v>5.0999999999999996</v>
      </c>
      <c r="E29" s="12">
        <v>32</v>
      </c>
      <c r="F29" s="8">
        <v>6.34</v>
      </c>
      <c r="G29" s="12">
        <v>15</v>
      </c>
      <c r="H29" s="8">
        <v>3.7</v>
      </c>
      <c r="I29" s="12">
        <v>0</v>
      </c>
    </row>
    <row r="30" spans="2:9" ht="15" customHeight="1" x14ac:dyDescent="0.2">
      <c r="B30" t="s">
        <v>91</v>
      </c>
      <c r="C30" s="12">
        <v>35</v>
      </c>
      <c r="D30" s="8">
        <v>3.8</v>
      </c>
      <c r="E30" s="12">
        <v>31</v>
      </c>
      <c r="F30" s="8">
        <v>6.14</v>
      </c>
      <c r="G30" s="12">
        <v>4</v>
      </c>
      <c r="H30" s="8">
        <v>0.99</v>
      </c>
      <c r="I30" s="12">
        <v>0</v>
      </c>
    </row>
    <row r="31" spans="2:9" ht="15" customHeight="1" x14ac:dyDescent="0.2">
      <c r="B31" t="s">
        <v>90</v>
      </c>
      <c r="C31" s="12">
        <v>34</v>
      </c>
      <c r="D31" s="8">
        <v>3.69</v>
      </c>
      <c r="E31" s="12">
        <v>23</v>
      </c>
      <c r="F31" s="8">
        <v>4.55</v>
      </c>
      <c r="G31" s="12">
        <v>8</v>
      </c>
      <c r="H31" s="8">
        <v>1.98</v>
      </c>
      <c r="I31" s="12">
        <v>0</v>
      </c>
    </row>
    <row r="32" spans="2:9" ht="15" customHeight="1" x14ac:dyDescent="0.2">
      <c r="B32" t="s">
        <v>76</v>
      </c>
      <c r="C32" s="12">
        <v>33</v>
      </c>
      <c r="D32" s="8">
        <v>3.58</v>
      </c>
      <c r="E32" s="12">
        <v>8</v>
      </c>
      <c r="F32" s="8">
        <v>1.58</v>
      </c>
      <c r="G32" s="12">
        <v>25</v>
      </c>
      <c r="H32" s="8">
        <v>6.17</v>
      </c>
      <c r="I32" s="12">
        <v>0</v>
      </c>
    </row>
    <row r="33" spans="2:9" ht="15" customHeight="1" x14ac:dyDescent="0.2">
      <c r="B33" t="s">
        <v>85</v>
      </c>
      <c r="C33" s="12">
        <v>32</v>
      </c>
      <c r="D33" s="8">
        <v>3.47</v>
      </c>
      <c r="E33" s="12">
        <v>12</v>
      </c>
      <c r="F33" s="8">
        <v>2.38</v>
      </c>
      <c r="G33" s="12">
        <v>20</v>
      </c>
      <c r="H33" s="8">
        <v>4.9400000000000004</v>
      </c>
      <c r="I33" s="12">
        <v>0</v>
      </c>
    </row>
    <row r="34" spans="2:9" ht="15" customHeight="1" x14ac:dyDescent="0.2">
      <c r="B34" t="s">
        <v>75</v>
      </c>
      <c r="C34" s="12">
        <v>29</v>
      </c>
      <c r="D34" s="8">
        <v>3.15</v>
      </c>
      <c r="E34" s="12">
        <v>12</v>
      </c>
      <c r="F34" s="8">
        <v>2.38</v>
      </c>
      <c r="G34" s="12">
        <v>17</v>
      </c>
      <c r="H34" s="8">
        <v>4.2</v>
      </c>
      <c r="I34" s="12">
        <v>0</v>
      </c>
    </row>
    <row r="35" spans="2:9" ht="15" customHeight="1" x14ac:dyDescent="0.2">
      <c r="B35" t="s">
        <v>80</v>
      </c>
      <c r="C35" s="12">
        <v>28</v>
      </c>
      <c r="D35" s="8">
        <v>3.04</v>
      </c>
      <c r="E35" s="12">
        <v>10</v>
      </c>
      <c r="F35" s="8">
        <v>1.98</v>
      </c>
      <c r="G35" s="12">
        <v>18</v>
      </c>
      <c r="H35" s="8">
        <v>4.4400000000000004</v>
      </c>
      <c r="I35" s="12">
        <v>0</v>
      </c>
    </row>
    <row r="36" spans="2:9" ht="15" customHeight="1" x14ac:dyDescent="0.2">
      <c r="B36" t="s">
        <v>93</v>
      </c>
      <c r="C36" s="12">
        <v>22</v>
      </c>
      <c r="D36" s="8">
        <v>2.39</v>
      </c>
      <c r="E36" s="12">
        <v>19</v>
      </c>
      <c r="F36" s="8">
        <v>3.76</v>
      </c>
      <c r="G36" s="12">
        <v>3</v>
      </c>
      <c r="H36" s="8">
        <v>0.74</v>
      </c>
      <c r="I36" s="12">
        <v>0</v>
      </c>
    </row>
    <row r="37" spans="2:9" ht="15" customHeight="1" x14ac:dyDescent="0.2">
      <c r="B37" t="s">
        <v>92</v>
      </c>
      <c r="C37" s="12">
        <v>20</v>
      </c>
      <c r="D37" s="8">
        <v>2.17</v>
      </c>
      <c r="E37" s="12">
        <v>0</v>
      </c>
      <c r="F37" s="8">
        <v>0</v>
      </c>
      <c r="G37" s="12">
        <v>17</v>
      </c>
      <c r="H37" s="8">
        <v>4.2</v>
      </c>
      <c r="I37" s="12">
        <v>0</v>
      </c>
    </row>
    <row r="38" spans="2:9" ht="15" customHeight="1" x14ac:dyDescent="0.2">
      <c r="B38" t="s">
        <v>87</v>
      </c>
      <c r="C38" s="12">
        <v>19</v>
      </c>
      <c r="D38" s="8">
        <v>2.06</v>
      </c>
      <c r="E38" s="12">
        <v>8</v>
      </c>
      <c r="F38" s="8">
        <v>1.58</v>
      </c>
      <c r="G38" s="12">
        <v>11</v>
      </c>
      <c r="H38" s="8">
        <v>2.72</v>
      </c>
      <c r="I38" s="12">
        <v>0</v>
      </c>
    </row>
    <row r="39" spans="2:9" ht="15" customHeight="1" x14ac:dyDescent="0.2">
      <c r="B39" t="s">
        <v>101</v>
      </c>
      <c r="C39" s="12">
        <v>19</v>
      </c>
      <c r="D39" s="8">
        <v>2.06</v>
      </c>
      <c r="E39" s="12">
        <v>7</v>
      </c>
      <c r="F39" s="8">
        <v>1.39</v>
      </c>
      <c r="G39" s="12">
        <v>11</v>
      </c>
      <c r="H39" s="8">
        <v>2.72</v>
      </c>
      <c r="I39" s="12">
        <v>0</v>
      </c>
    </row>
    <row r="40" spans="2:9" ht="15" customHeight="1" x14ac:dyDescent="0.2">
      <c r="B40" t="s">
        <v>84</v>
      </c>
      <c r="C40" s="12">
        <v>18</v>
      </c>
      <c r="D40" s="8">
        <v>1.95</v>
      </c>
      <c r="E40" s="12">
        <v>8</v>
      </c>
      <c r="F40" s="8">
        <v>1.58</v>
      </c>
      <c r="G40" s="12">
        <v>10</v>
      </c>
      <c r="H40" s="8">
        <v>2.4700000000000002</v>
      </c>
      <c r="I40" s="12">
        <v>0</v>
      </c>
    </row>
    <row r="41" spans="2:9" ht="15" customHeight="1" x14ac:dyDescent="0.2">
      <c r="B41" t="s">
        <v>97</v>
      </c>
      <c r="C41" s="12">
        <v>17</v>
      </c>
      <c r="D41" s="8">
        <v>1.85</v>
      </c>
      <c r="E41" s="12">
        <v>7</v>
      </c>
      <c r="F41" s="8">
        <v>1.39</v>
      </c>
      <c r="G41" s="12">
        <v>10</v>
      </c>
      <c r="H41" s="8">
        <v>2.4700000000000002</v>
      </c>
      <c r="I41" s="12">
        <v>0</v>
      </c>
    </row>
    <row r="42" spans="2:9" ht="15" customHeight="1" x14ac:dyDescent="0.2">
      <c r="B42" t="s">
        <v>99</v>
      </c>
      <c r="C42" s="12">
        <v>14</v>
      </c>
      <c r="D42" s="8">
        <v>1.52</v>
      </c>
      <c r="E42" s="12">
        <v>3</v>
      </c>
      <c r="F42" s="8">
        <v>0.59</v>
      </c>
      <c r="G42" s="12">
        <v>11</v>
      </c>
      <c r="H42" s="8">
        <v>2.72</v>
      </c>
      <c r="I42" s="12">
        <v>0</v>
      </c>
    </row>
    <row r="43" spans="2:9" ht="15" customHeight="1" x14ac:dyDescent="0.2">
      <c r="B43" t="s">
        <v>100</v>
      </c>
      <c r="C43" s="12">
        <v>13</v>
      </c>
      <c r="D43" s="8">
        <v>1.41</v>
      </c>
      <c r="E43" s="12">
        <v>6</v>
      </c>
      <c r="F43" s="8">
        <v>1.19</v>
      </c>
      <c r="G43" s="12">
        <v>7</v>
      </c>
      <c r="H43" s="8">
        <v>1.73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89</v>
      </c>
      <c r="D47" s="8">
        <v>9.66</v>
      </c>
      <c r="E47" s="12">
        <v>79</v>
      </c>
      <c r="F47" s="8">
        <v>15.64</v>
      </c>
      <c r="G47" s="12">
        <v>10</v>
      </c>
      <c r="H47" s="8">
        <v>2.4700000000000002</v>
      </c>
      <c r="I47" s="12">
        <v>0</v>
      </c>
    </row>
    <row r="48" spans="2:9" ht="15" customHeight="1" x14ac:dyDescent="0.2">
      <c r="B48" t="s">
        <v>150</v>
      </c>
      <c r="C48" s="12">
        <v>43</v>
      </c>
      <c r="D48" s="8">
        <v>4.67</v>
      </c>
      <c r="E48" s="12">
        <v>41</v>
      </c>
      <c r="F48" s="8">
        <v>8.1199999999999992</v>
      </c>
      <c r="G48" s="12">
        <v>2</v>
      </c>
      <c r="H48" s="8">
        <v>0.49</v>
      </c>
      <c r="I48" s="12">
        <v>0</v>
      </c>
    </row>
    <row r="49" spans="2:9" ht="15" customHeight="1" x14ac:dyDescent="0.2">
      <c r="B49" t="s">
        <v>141</v>
      </c>
      <c r="C49" s="12">
        <v>35</v>
      </c>
      <c r="D49" s="8">
        <v>3.8</v>
      </c>
      <c r="E49" s="12">
        <v>23</v>
      </c>
      <c r="F49" s="8">
        <v>4.55</v>
      </c>
      <c r="G49" s="12">
        <v>12</v>
      </c>
      <c r="H49" s="8">
        <v>2.96</v>
      </c>
      <c r="I49" s="12">
        <v>0</v>
      </c>
    </row>
    <row r="50" spans="2:9" ht="15" customHeight="1" x14ac:dyDescent="0.2">
      <c r="B50" t="s">
        <v>153</v>
      </c>
      <c r="C50" s="12">
        <v>28</v>
      </c>
      <c r="D50" s="8">
        <v>3.04</v>
      </c>
      <c r="E50" s="12">
        <v>25</v>
      </c>
      <c r="F50" s="8">
        <v>4.95</v>
      </c>
      <c r="G50" s="12">
        <v>3</v>
      </c>
      <c r="H50" s="8">
        <v>0.74</v>
      </c>
      <c r="I50" s="12">
        <v>0</v>
      </c>
    </row>
    <row r="51" spans="2:9" ht="15" customHeight="1" x14ac:dyDescent="0.2">
      <c r="B51" t="s">
        <v>140</v>
      </c>
      <c r="C51" s="12">
        <v>24</v>
      </c>
      <c r="D51" s="8">
        <v>2.61</v>
      </c>
      <c r="E51" s="12">
        <v>15</v>
      </c>
      <c r="F51" s="8">
        <v>2.97</v>
      </c>
      <c r="G51" s="12">
        <v>9</v>
      </c>
      <c r="H51" s="8">
        <v>2.2200000000000002</v>
      </c>
      <c r="I51" s="12">
        <v>0</v>
      </c>
    </row>
    <row r="52" spans="2:9" ht="15" customHeight="1" x14ac:dyDescent="0.2">
      <c r="B52" t="s">
        <v>136</v>
      </c>
      <c r="C52" s="12">
        <v>23</v>
      </c>
      <c r="D52" s="8">
        <v>2.5</v>
      </c>
      <c r="E52" s="12">
        <v>4</v>
      </c>
      <c r="F52" s="8">
        <v>0.79</v>
      </c>
      <c r="G52" s="12">
        <v>19</v>
      </c>
      <c r="H52" s="8">
        <v>4.6900000000000004</v>
      </c>
      <c r="I52" s="12">
        <v>0</v>
      </c>
    </row>
    <row r="53" spans="2:9" ht="15" customHeight="1" x14ac:dyDescent="0.2">
      <c r="B53" t="s">
        <v>142</v>
      </c>
      <c r="C53" s="12">
        <v>22</v>
      </c>
      <c r="D53" s="8">
        <v>2.39</v>
      </c>
      <c r="E53" s="12">
        <v>3</v>
      </c>
      <c r="F53" s="8">
        <v>0.59</v>
      </c>
      <c r="G53" s="12">
        <v>19</v>
      </c>
      <c r="H53" s="8">
        <v>4.6900000000000004</v>
      </c>
      <c r="I53" s="12">
        <v>0</v>
      </c>
    </row>
    <row r="54" spans="2:9" ht="15" customHeight="1" x14ac:dyDescent="0.2">
      <c r="B54" t="s">
        <v>154</v>
      </c>
      <c r="C54" s="12">
        <v>22</v>
      </c>
      <c r="D54" s="8">
        <v>2.39</v>
      </c>
      <c r="E54" s="12">
        <v>19</v>
      </c>
      <c r="F54" s="8">
        <v>3.76</v>
      </c>
      <c r="G54" s="12">
        <v>3</v>
      </c>
      <c r="H54" s="8">
        <v>0.74</v>
      </c>
      <c r="I54" s="12">
        <v>0</v>
      </c>
    </row>
    <row r="55" spans="2:9" ht="15" customHeight="1" x14ac:dyDescent="0.2">
      <c r="B55" t="s">
        <v>147</v>
      </c>
      <c r="C55" s="12">
        <v>20</v>
      </c>
      <c r="D55" s="8">
        <v>2.17</v>
      </c>
      <c r="E55" s="12">
        <v>16</v>
      </c>
      <c r="F55" s="8">
        <v>3.17</v>
      </c>
      <c r="G55" s="12">
        <v>4</v>
      </c>
      <c r="H55" s="8">
        <v>0.99</v>
      </c>
      <c r="I55" s="12">
        <v>0</v>
      </c>
    </row>
    <row r="56" spans="2:9" ht="15" customHeight="1" x14ac:dyDescent="0.2">
      <c r="B56" t="s">
        <v>137</v>
      </c>
      <c r="C56" s="12">
        <v>19</v>
      </c>
      <c r="D56" s="8">
        <v>2.06</v>
      </c>
      <c r="E56" s="12">
        <v>5</v>
      </c>
      <c r="F56" s="8">
        <v>0.99</v>
      </c>
      <c r="G56" s="12">
        <v>14</v>
      </c>
      <c r="H56" s="8">
        <v>3.46</v>
      </c>
      <c r="I56" s="12">
        <v>0</v>
      </c>
    </row>
    <row r="57" spans="2:9" ht="15" customHeight="1" x14ac:dyDescent="0.2">
      <c r="B57" t="s">
        <v>148</v>
      </c>
      <c r="C57" s="12">
        <v>19</v>
      </c>
      <c r="D57" s="8">
        <v>2.06</v>
      </c>
      <c r="E57" s="12">
        <v>18</v>
      </c>
      <c r="F57" s="8">
        <v>3.56</v>
      </c>
      <c r="G57" s="12">
        <v>1</v>
      </c>
      <c r="H57" s="8">
        <v>0.25</v>
      </c>
      <c r="I57" s="12">
        <v>0</v>
      </c>
    </row>
    <row r="58" spans="2:9" ht="15" customHeight="1" x14ac:dyDescent="0.2">
      <c r="B58" t="s">
        <v>152</v>
      </c>
      <c r="C58" s="12">
        <v>19</v>
      </c>
      <c r="D58" s="8">
        <v>2.06</v>
      </c>
      <c r="E58" s="12">
        <v>14</v>
      </c>
      <c r="F58" s="8">
        <v>2.77</v>
      </c>
      <c r="G58" s="12">
        <v>5</v>
      </c>
      <c r="H58" s="8">
        <v>1.23</v>
      </c>
      <c r="I58" s="12">
        <v>0</v>
      </c>
    </row>
    <row r="59" spans="2:9" ht="15" customHeight="1" x14ac:dyDescent="0.2">
      <c r="B59" t="s">
        <v>138</v>
      </c>
      <c r="C59" s="12">
        <v>16</v>
      </c>
      <c r="D59" s="8">
        <v>1.74</v>
      </c>
      <c r="E59" s="12">
        <v>3</v>
      </c>
      <c r="F59" s="8">
        <v>0.59</v>
      </c>
      <c r="G59" s="12">
        <v>13</v>
      </c>
      <c r="H59" s="8">
        <v>3.21</v>
      </c>
      <c r="I59" s="12">
        <v>0</v>
      </c>
    </row>
    <row r="60" spans="2:9" ht="15" customHeight="1" x14ac:dyDescent="0.2">
      <c r="B60" t="s">
        <v>139</v>
      </c>
      <c r="C60" s="12">
        <v>16</v>
      </c>
      <c r="D60" s="8">
        <v>1.74</v>
      </c>
      <c r="E60" s="12">
        <v>6</v>
      </c>
      <c r="F60" s="8">
        <v>1.19</v>
      </c>
      <c r="G60" s="12">
        <v>10</v>
      </c>
      <c r="H60" s="8">
        <v>2.4700000000000002</v>
      </c>
      <c r="I60" s="12">
        <v>0</v>
      </c>
    </row>
    <row r="61" spans="2:9" ht="15" customHeight="1" x14ac:dyDescent="0.2">
      <c r="B61" t="s">
        <v>145</v>
      </c>
      <c r="C61" s="12">
        <v>16</v>
      </c>
      <c r="D61" s="8">
        <v>1.74</v>
      </c>
      <c r="E61" s="12">
        <v>9</v>
      </c>
      <c r="F61" s="8">
        <v>1.78</v>
      </c>
      <c r="G61" s="12">
        <v>7</v>
      </c>
      <c r="H61" s="8">
        <v>1.73</v>
      </c>
      <c r="I61" s="12">
        <v>0</v>
      </c>
    </row>
    <row r="62" spans="2:9" ht="15" customHeight="1" x14ac:dyDescent="0.2">
      <c r="B62" t="s">
        <v>135</v>
      </c>
      <c r="C62" s="12">
        <v>14</v>
      </c>
      <c r="D62" s="8">
        <v>1.52</v>
      </c>
      <c r="E62" s="12">
        <v>3</v>
      </c>
      <c r="F62" s="8">
        <v>0.59</v>
      </c>
      <c r="G62" s="12">
        <v>11</v>
      </c>
      <c r="H62" s="8">
        <v>2.72</v>
      </c>
      <c r="I62" s="12">
        <v>0</v>
      </c>
    </row>
    <row r="63" spans="2:9" ht="15" customHeight="1" x14ac:dyDescent="0.2">
      <c r="B63" t="s">
        <v>168</v>
      </c>
      <c r="C63" s="12">
        <v>14</v>
      </c>
      <c r="D63" s="8">
        <v>1.52</v>
      </c>
      <c r="E63" s="12">
        <v>7</v>
      </c>
      <c r="F63" s="8">
        <v>1.39</v>
      </c>
      <c r="G63" s="12">
        <v>7</v>
      </c>
      <c r="H63" s="8">
        <v>1.73</v>
      </c>
      <c r="I63" s="12">
        <v>0</v>
      </c>
    </row>
    <row r="64" spans="2:9" ht="15" customHeight="1" x14ac:dyDescent="0.2">
      <c r="B64" t="s">
        <v>155</v>
      </c>
      <c r="C64" s="12">
        <v>14</v>
      </c>
      <c r="D64" s="8">
        <v>1.52</v>
      </c>
      <c r="E64" s="12">
        <v>6</v>
      </c>
      <c r="F64" s="8">
        <v>1.19</v>
      </c>
      <c r="G64" s="12">
        <v>8</v>
      </c>
      <c r="H64" s="8">
        <v>1.98</v>
      </c>
      <c r="I64" s="12">
        <v>0</v>
      </c>
    </row>
    <row r="65" spans="2:9" ht="15" customHeight="1" x14ac:dyDescent="0.2">
      <c r="B65" t="s">
        <v>143</v>
      </c>
      <c r="C65" s="12">
        <v>13</v>
      </c>
      <c r="D65" s="8">
        <v>1.41</v>
      </c>
      <c r="E65" s="12">
        <v>8</v>
      </c>
      <c r="F65" s="8">
        <v>1.58</v>
      </c>
      <c r="G65" s="12">
        <v>5</v>
      </c>
      <c r="H65" s="8">
        <v>1.23</v>
      </c>
      <c r="I65" s="12">
        <v>0</v>
      </c>
    </row>
    <row r="66" spans="2:9" ht="15" customHeight="1" x14ac:dyDescent="0.2">
      <c r="B66" t="s">
        <v>171</v>
      </c>
      <c r="C66" s="12">
        <v>12</v>
      </c>
      <c r="D66" s="8">
        <v>1.3</v>
      </c>
      <c r="E66" s="12">
        <v>6</v>
      </c>
      <c r="F66" s="8">
        <v>1.19</v>
      </c>
      <c r="G66" s="12">
        <v>6</v>
      </c>
      <c r="H66" s="8">
        <v>1.48</v>
      </c>
      <c r="I66" s="12">
        <v>0</v>
      </c>
    </row>
    <row r="67" spans="2:9" ht="15" customHeight="1" x14ac:dyDescent="0.2">
      <c r="B67" t="s">
        <v>172</v>
      </c>
      <c r="C67" s="12">
        <v>12</v>
      </c>
      <c r="D67" s="8">
        <v>1.3</v>
      </c>
      <c r="E67" s="12">
        <v>9</v>
      </c>
      <c r="F67" s="8">
        <v>1.78</v>
      </c>
      <c r="G67" s="12">
        <v>3</v>
      </c>
      <c r="H67" s="8">
        <v>0.74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8155-5BCD-4BF8-801C-701CCEB6B19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76</v>
      </c>
      <c r="D6" s="8">
        <v>10.43</v>
      </c>
      <c r="E6" s="12">
        <v>31</v>
      </c>
      <c r="F6" s="8">
        <v>6.78</v>
      </c>
      <c r="G6" s="12">
        <v>45</v>
      </c>
      <c r="H6" s="8">
        <v>16.920000000000002</v>
      </c>
      <c r="I6" s="12">
        <v>0</v>
      </c>
    </row>
    <row r="7" spans="2:9" ht="15" customHeight="1" x14ac:dyDescent="0.2">
      <c r="B7" t="s">
        <v>53</v>
      </c>
      <c r="C7" s="12">
        <v>36</v>
      </c>
      <c r="D7" s="8">
        <v>4.9400000000000004</v>
      </c>
      <c r="E7" s="12">
        <v>15</v>
      </c>
      <c r="F7" s="8">
        <v>3.28</v>
      </c>
      <c r="G7" s="12">
        <v>21</v>
      </c>
      <c r="H7" s="8">
        <v>7.89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7</v>
      </c>
      <c r="D9" s="8">
        <v>0.96</v>
      </c>
      <c r="E9" s="12">
        <v>0</v>
      </c>
      <c r="F9" s="8">
        <v>0</v>
      </c>
      <c r="G9" s="12">
        <v>7</v>
      </c>
      <c r="H9" s="8">
        <v>2.63</v>
      </c>
      <c r="I9" s="12">
        <v>0</v>
      </c>
    </row>
    <row r="10" spans="2:9" ht="15" customHeight="1" x14ac:dyDescent="0.2">
      <c r="B10" t="s">
        <v>56</v>
      </c>
      <c r="C10" s="12">
        <v>7</v>
      </c>
      <c r="D10" s="8">
        <v>0.96</v>
      </c>
      <c r="E10" s="12">
        <v>2</v>
      </c>
      <c r="F10" s="8">
        <v>0.44</v>
      </c>
      <c r="G10" s="12">
        <v>4</v>
      </c>
      <c r="H10" s="8">
        <v>1.5</v>
      </c>
      <c r="I10" s="12">
        <v>0</v>
      </c>
    </row>
    <row r="11" spans="2:9" ht="15" customHeight="1" x14ac:dyDescent="0.2">
      <c r="B11" t="s">
        <v>57</v>
      </c>
      <c r="C11" s="12">
        <v>182</v>
      </c>
      <c r="D11" s="8">
        <v>24.97</v>
      </c>
      <c r="E11" s="12">
        <v>92</v>
      </c>
      <c r="F11" s="8">
        <v>20.13</v>
      </c>
      <c r="G11" s="12">
        <v>89</v>
      </c>
      <c r="H11" s="8">
        <v>33.46</v>
      </c>
      <c r="I11" s="12">
        <v>1</v>
      </c>
    </row>
    <row r="12" spans="2:9" ht="15" customHeight="1" x14ac:dyDescent="0.2">
      <c r="B12" t="s">
        <v>58</v>
      </c>
      <c r="C12" s="12">
        <v>8</v>
      </c>
      <c r="D12" s="8">
        <v>1.1000000000000001</v>
      </c>
      <c r="E12" s="12">
        <v>2</v>
      </c>
      <c r="F12" s="8">
        <v>0.44</v>
      </c>
      <c r="G12" s="12">
        <v>6</v>
      </c>
      <c r="H12" s="8">
        <v>2.2599999999999998</v>
      </c>
      <c r="I12" s="12">
        <v>0</v>
      </c>
    </row>
    <row r="13" spans="2:9" ht="15" customHeight="1" x14ac:dyDescent="0.2">
      <c r="B13" t="s">
        <v>59</v>
      </c>
      <c r="C13" s="12">
        <v>100</v>
      </c>
      <c r="D13" s="8">
        <v>13.72</v>
      </c>
      <c r="E13" s="12">
        <v>77</v>
      </c>
      <c r="F13" s="8">
        <v>16.850000000000001</v>
      </c>
      <c r="G13" s="12">
        <v>23</v>
      </c>
      <c r="H13" s="8">
        <v>8.65</v>
      </c>
      <c r="I13" s="12">
        <v>0</v>
      </c>
    </row>
    <row r="14" spans="2:9" ht="15" customHeight="1" x14ac:dyDescent="0.2">
      <c r="B14" t="s">
        <v>60</v>
      </c>
      <c r="C14" s="12">
        <v>30</v>
      </c>
      <c r="D14" s="8">
        <v>4.12</v>
      </c>
      <c r="E14" s="12">
        <v>17</v>
      </c>
      <c r="F14" s="8">
        <v>3.72</v>
      </c>
      <c r="G14" s="12">
        <v>13</v>
      </c>
      <c r="H14" s="8">
        <v>4.8899999999999997</v>
      </c>
      <c r="I14" s="12">
        <v>0</v>
      </c>
    </row>
    <row r="15" spans="2:9" ht="15" customHeight="1" x14ac:dyDescent="0.2">
      <c r="B15" t="s">
        <v>61</v>
      </c>
      <c r="C15" s="12">
        <v>107</v>
      </c>
      <c r="D15" s="8">
        <v>14.68</v>
      </c>
      <c r="E15" s="12">
        <v>91</v>
      </c>
      <c r="F15" s="8">
        <v>19.91</v>
      </c>
      <c r="G15" s="12">
        <v>16</v>
      </c>
      <c r="H15" s="8">
        <v>6.02</v>
      </c>
      <c r="I15" s="12">
        <v>0</v>
      </c>
    </row>
    <row r="16" spans="2:9" ht="15" customHeight="1" x14ac:dyDescent="0.2">
      <c r="B16" t="s">
        <v>62</v>
      </c>
      <c r="C16" s="12">
        <v>90</v>
      </c>
      <c r="D16" s="8">
        <v>12.35</v>
      </c>
      <c r="E16" s="12">
        <v>78</v>
      </c>
      <c r="F16" s="8">
        <v>17.07</v>
      </c>
      <c r="G16" s="12">
        <v>12</v>
      </c>
      <c r="H16" s="8">
        <v>4.51</v>
      </c>
      <c r="I16" s="12">
        <v>0</v>
      </c>
    </row>
    <row r="17" spans="2:9" ht="15" customHeight="1" x14ac:dyDescent="0.2">
      <c r="B17" t="s">
        <v>63</v>
      </c>
      <c r="C17" s="12">
        <v>16</v>
      </c>
      <c r="D17" s="8">
        <v>2.19</v>
      </c>
      <c r="E17" s="12">
        <v>13</v>
      </c>
      <c r="F17" s="8">
        <v>2.84</v>
      </c>
      <c r="G17" s="12">
        <v>2</v>
      </c>
      <c r="H17" s="8">
        <v>0.75</v>
      </c>
      <c r="I17" s="12">
        <v>0</v>
      </c>
    </row>
    <row r="18" spans="2:9" ht="15" customHeight="1" x14ac:dyDescent="0.2">
      <c r="B18" t="s">
        <v>64</v>
      </c>
      <c r="C18" s="12">
        <v>35</v>
      </c>
      <c r="D18" s="8">
        <v>4.8</v>
      </c>
      <c r="E18" s="12">
        <v>22</v>
      </c>
      <c r="F18" s="8">
        <v>4.8099999999999996</v>
      </c>
      <c r="G18" s="12">
        <v>13</v>
      </c>
      <c r="H18" s="8">
        <v>4.8899999999999997</v>
      </c>
      <c r="I18" s="12">
        <v>0</v>
      </c>
    </row>
    <row r="19" spans="2:9" ht="15" customHeight="1" x14ac:dyDescent="0.2">
      <c r="B19" t="s">
        <v>65</v>
      </c>
      <c r="C19" s="12">
        <v>35</v>
      </c>
      <c r="D19" s="8">
        <v>4.8</v>
      </c>
      <c r="E19" s="12">
        <v>17</v>
      </c>
      <c r="F19" s="8">
        <v>3.72</v>
      </c>
      <c r="G19" s="12">
        <v>15</v>
      </c>
      <c r="H19" s="8">
        <v>5.64</v>
      </c>
      <c r="I19" s="12">
        <v>1</v>
      </c>
    </row>
    <row r="20" spans="2:9" ht="15" customHeight="1" x14ac:dyDescent="0.2">
      <c r="B20" s="9" t="s">
        <v>281</v>
      </c>
      <c r="C20" s="12">
        <f>SUM(LTBL_43205[総数／事業所数])</f>
        <v>729</v>
      </c>
      <c r="E20" s="12">
        <f>SUBTOTAL(109,LTBL_43205[個人／事業所数])</f>
        <v>457</v>
      </c>
      <c r="G20" s="12">
        <f>SUBTOTAL(109,LTBL_43205[法人／事業所数])</f>
        <v>266</v>
      </c>
      <c r="I20" s="12">
        <f>SUBTOTAL(109,LTBL_43205[法人以外の団体／事業所数])</f>
        <v>2</v>
      </c>
    </row>
    <row r="21" spans="2:9" ht="15" customHeight="1" x14ac:dyDescent="0.2">
      <c r="E21" s="11">
        <f>LTBL_43205[[#Totals],[個人／事業所数]]/LTBL_43205[[#Totals],[総数／事業所数]]</f>
        <v>0.62688614540466392</v>
      </c>
      <c r="G21" s="11">
        <f>LTBL_43205[[#Totals],[法人／事業所数]]/LTBL_43205[[#Totals],[総数／事業所数]]</f>
        <v>0.36488340192043894</v>
      </c>
      <c r="I21" s="11">
        <f>LTBL_43205[[#Totals],[法人以外の団体／事業所数]]/LTBL_43205[[#Totals],[総数／事業所数]]</f>
        <v>2.7434842249657062E-3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85</v>
      </c>
      <c r="C24" s="12">
        <v>93</v>
      </c>
      <c r="D24" s="8">
        <v>12.76</v>
      </c>
      <c r="E24" s="12">
        <v>76</v>
      </c>
      <c r="F24" s="8">
        <v>16.63</v>
      </c>
      <c r="G24" s="12">
        <v>17</v>
      </c>
      <c r="H24" s="8">
        <v>6.39</v>
      </c>
      <c r="I24" s="12">
        <v>0</v>
      </c>
    </row>
    <row r="25" spans="2:9" ht="15" customHeight="1" x14ac:dyDescent="0.2">
      <c r="B25" t="s">
        <v>88</v>
      </c>
      <c r="C25" s="12">
        <v>92</v>
      </c>
      <c r="D25" s="8">
        <v>12.62</v>
      </c>
      <c r="E25" s="12">
        <v>85</v>
      </c>
      <c r="F25" s="8">
        <v>18.600000000000001</v>
      </c>
      <c r="G25" s="12">
        <v>7</v>
      </c>
      <c r="H25" s="8">
        <v>2.63</v>
      </c>
      <c r="I25" s="12">
        <v>0</v>
      </c>
    </row>
    <row r="26" spans="2:9" ht="15" customHeight="1" x14ac:dyDescent="0.2">
      <c r="B26" t="s">
        <v>89</v>
      </c>
      <c r="C26" s="12">
        <v>75</v>
      </c>
      <c r="D26" s="8">
        <v>10.29</v>
      </c>
      <c r="E26" s="12">
        <v>69</v>
      </c>
      <c r="F26" s="8">
        <v>15.1</v>
      </c>
      <c r="G26" s="12">
        <v>6</v>
      </c>
      <c r="H26" s="8">
        <v>2.2599999999999998</v>
      </c>
      <c r="I26" s="12">
        <v>0</v>
      </c>
    </row>
    <row r="27" spans="2:9" ht="15" customHeight="1" x14ac:dyDescent="0.2">
      <c r="B27" t="s">
        <v>81</v>
      </c>
      <c r="C27" s="12">
        <v>52</v>
      </c>
      <c r="D27" s="8">
        <v>7.13</v>
      </c>
      <c r="E27" s="12">
        <v>31</v>
      </c>
      <c r="F27" s="8">
        <v>6.78</v>
      </c>
      <c r="G27" s="12">
        <v>20</v>
      </c>
      <c r="H27" s="8">
        <v>7.52</v>
      </c>
      <c r="I27" s="12">
        <v>1</v>
      </c>
    </row>
    <row r="28" spans="2:9" ht="15" customHeight="1" x14ac:dyDescent="0.2">
      <c r="B28" t="s">
        <v>83</v>
      </c>
      <c r="C28" s="12">
        <v>48</v>
      </c>
      <c r="D28" s="8">
        <v>6.58</v>
      </c>
      <c r="E28" s="12">
        <v>22</v>
      </c>
      <c r="F28" s="8">
        <v>4.8099999999999996</v>
      </c>
      <c r="G28" s="12">
        <v>26</v>
      </c>
      <c r="H28" s="8">
        <v>9.77</v>
      </c>
      <c r="I28" s="12">
        <v>0</v>
      </c>
    </row>
    <row r="29" spans="2:9" ht="15" customHeight="1" x14ac:dyDescent="0.2">
      <c r="B29" t="s">
        <v>82</v>
      </c>
      <c r="C29" s="12">
        <v>33</v>
      </c>
      <c r="D29" s="8">
        <v>4.53</v>
      </c>
      <c r="E29" s="12">
        <v>23</v>
      </c>
      <c r="F29" s="8">
        <v>5.03</v>
      </c>
      <c r="G29" s="12">
        <v>10</v>
      </c>
      <c r="H29" s="8">
        <v>3.76</v>
      </c>
      <c r="I29" s="12">
        <v>0</v>
      </c>
    </row>
    <row r="30" spans="2:9" ht="15" customHeight="1" x14ac:dyDescent="0.2">
      <c r="B30" t="s">
        <v>74</v>
      </c>
      <c r="C30" s="12">
        <v>32</v>
      </c>
      <c r="D30" s="8">
        <v>4.3899999999999997</v>
      </c>
      <c r="E30" s="12">
        <v>9</v>
      </c>
      <c r="F30" s="8">
        <v>1.97</v>
      </c>
      <c r="G30" s="12">
        <v>23</v>
      </c>
      <c r="H30" s="8">
        <v>8.65</v>
      </c>
      <c r="I30" s="12">
        <v>0</v>
      </c>
    </row>
    <row r="31" spans="2:9" ht="15" customHeight="1" x14ac:dyDescent="0.2">
      <c r="B31" t="s">
        <v>75</v>
      </c>
      <c r="C31" s="12">
        <v>26</v>
      </c>
      <c r="D31" s="8">
        <v>3.57</v>
      </c>
      <c r="E31" s="12">
        <v>18</v>
      </c>
      <c r="F31" s="8">
        <v>3.94</v>
      </c>
      <c r="G31" s="12">
        <v>8</v>
      </c>
      <c r="H31" s="8">
        <v>3.01</v>
      </c>
      <c r="I31" s="12">
        <v>0</v>
      </c>
    </row>
    <row r="32" spans="2:9" ht="15" customHeight="1" x14ac:dyDescent="0.2">
      <c r="B32" t="s">
        <v>91</v>
      </c>
      <c r="C32" s="12">
        <v>24</v>
      </c>
      <c r="D32" s="8">
        <v>3.29</v>
      </c>
      <c r="E32" s="12">
        <v>21</v>
      </c>
      <c r="F32" s="8">
        <v>4.5999999999999996</v>
      </c>
      <c r="G32" s="12">
        <v>3</v>
      </c>
      <c r="H32" s="8">
        <v>1.1299999999999999</v>
      </c>
      <c r="I32" s="12">
        <v>0</v>
      </c>
    </row>
    <row r="33" spans="2:9" ht="15" customHeight="1" x14ac:dyDescent="0.2">
      <c r="B33" t="s">
        <v>76</v>
      </c>
      <c r="C33" s="12">
        <v>18</v>
      </c>
      <c r="D33" s="8">
        <v>2.4700000000000002</v>
      </c>
      <c r="E33" s="12">
        <v>4</v>
      </c>
      <c r="F33" s="8">
        <v>0.88</v>
      </c>
      <c r="G33" s="12">
        <v>14</v>
      </c>
      <c r="H33" s="8">
        <v>5.26</v>
      </c>
      <c r="I33" s="12">
        <v>0</v>
      </c>
    </row>
    <row r="34" spans="2:9" ht="15" customHeight="1" x14ac:dyDescent="0.2">
      <c r="B34" t="s">
        <v>90</v>
      </c>
      <c r="C34" s="12">
        <v>16</v>
      </c>
      <c r="D34" s="8">
        <v>2.19</v>
      </c>
      <c r="E34" s="12">
        <v>13</v>
      </c>
      <c r="F34" s="8">
        <v>2.84</v>
      </c>
      <c r="G34" s="12">
        <v>2</v>
      </c>
      <c r="H34" s="8">
        <v>0.75</v>
      </c>
      <c r="I34" s="12">
        <v>0</v>
      </c>
    </row>
    <row r="35" spans="2:9" ht="15" customHeight="1" x14ac:dyDescent="0.2">
      <c r="B35" t="s">
        <v>93</v>
      </c>
      <c r="C35" s="12">
        <v>16</v>
      </c>
      <c r="D35" s="8">
        <v>2.19</v>
      </c>
      <c r="E35" s="12">
        <v>13</v>
      </c>
      <c r="F35" s="8">
        <v>2.84</v>
      </c>
      <c r="G35" s="12">
        <v>3</v>
      </c>
      <c r="H35" s="8">
        <v>1.1299999999999999</v>
      </c>
      <c r="I35" s="12">
        <v>0</v>
      </c>
    </row>
    <row r="36" spans="2:9" ht="15" customHeight="1" x14ac:dyDescent="0.2">
      <c r="B36" t="s">
        <v>86</v>
      </c>
      <c r="C36" s="12">
        <v>14</v>
      </c>
      <c r="D36" s="8">
        <v>1.92</v>
      </c>
      <c r="E36" s="12">
        <v>11</v>
      </c>
      <c r="F36" s="8">
        <v>2.41</v>
      </c>
      <c r="G36" s="12">
        <v>3</v>
      </c>
      <c r="H36" s="8">
        <v>1.1299999999999999</v>
      </c>
      <c r="I36" s="12">
        <v>0</v>
      </c>
    </row>
    <row r="37" spans="2:9" ht="15" customHeight="1" x14ac:dyDescent="0.2">
      <c r="B37" t="s">
        <v>87</v>
      </c>
      <c r="C37" s="12">
        <v>13</v>
      </c>
      <c r="D37" s="8">
        <v>1.78</v>
      </c>
      <c r="E37" s="12">
        <v>6</v>
      </c>
      <c r="F37" s="8">
        <v>1.31</v>
      </c>
      <c r="G37" s="12">
        <v>7</v>
      </c>
      <c r="H37" s="8">
        <v>2.63</v>
      </c>
      <c r="I37" s="12">
        <v>0</v>
      </c>
    </row>
    <row r="38" spans="2:9" ht="15" customHeight="1" x14ac:dyDescent="0.2">
      <c r="B38" t="s">
        <v>79</v>
      </c>
      <c r="C38" s="12">
        <v>11</v>
      </c>
      <c r="D38" s="8">
        <v>1.51</v>
      </c>
      <c r="E38" s="12">
        <v>3</v>
      </c>
      <c r="F38" s="8">
        <v>0.66</v>
      </c>
      <c r="G38" s="12">
        <v>8</v>
      </c>
      <c r="H38" s="8">
        <v>3.01</v>
      </c>
      <c r="I38" s="12">
        <v>0</v>
      </c>
    </row>
    <row r="39" spans="2:9" ht="15" customHeight="1" x14ac:dyDescent="0.2">
      <c r="B39" t="s">
        <v>92</v>
      </c>
      <c r="C39" s="12">
        <v>11</v>
      </c>
      <c r="D39" s="8">
        <v>1.51</v>
      </c>
      <c r="E39" s="12">
        <v>1</v>
      </c>
      <c r="F39" s="8">
        <v>0.22</v>
      </c>
      <c r="G39" s="12">
        <v>10</v>
      </c>
      <c r="H39" s="8">
        <v>3.76</v>
      </c>
      <c r="I39" s="12">
        <v>0</v>
      </c>
    </row>
    <row r="40" spans="2:9" ht="15" customHeight="1" x14ac:dyDescent="0.2">
      <c r="B40" t="s">
        <v>77</v>
      </c>
      <c r="C40" s="12">
        <v>10</v>
      </c>
      <c r="D40" s="8">
        <v>1.37</v>
      </c>
      <c r="E40" s="12">
        <v>5</v>
      </c>
      <c r="F40" s="8">
        <v>1.0900000000000001</v>
      </c>
      <c r="G40" s="12">
        <v>5</v>
      </c>
      <c r="H40" s="8">
        <v>1.88</v>
      </c>
      <c r="I40" s="12">
        <v>0</v>
      </c>
    </row>
    <row r="41" spans="2:9" ht="15" customHeight="1" x14ac:dyDescent="0.2">
      <c r="B41" t="s">
        <v>99</v>
      </c>
      <c r="C41" s="12">
        <v>10</v>
      </c>
      <c r="D41" s="8">
        <v>1.37</v>
      </c>
      <c r="E41" s="12">
        <v>3</v>
      </c>
      <c r="F41" s="8">
        <v>0.66</v>
      </c>
      <c r="G41" s="12">
        <v>7</v>
      </c>
      <c r="H41" s="8">
        <v>2.63</v>
      </c>
      <c r="I41" s="12">
        <v>0</v>
      </c>
    </row>
    <row r="42" spans="2:9" ht="15" customHeight="1" x14ac:dyDescent="0.2">
      <c r="B42" t="s">
        <v>78</v>
      </c>
      <c r="C42" s="12">
        <v>9</v>
      </c>
      <c r="D42" s="8">
        <v>1.23</v>
      </c>
      <c r="E42" s="12">
        <v>1</v>
      </c>
      <c r="F42" s="8">
        <v>0.22</v>
      </c>
      <c r="G42" s="12">
        <v>8</v>
      </c>
      <c r="H42" s="8">
        <v>3.01</v>
      </c>
      <c r="I42" s="12">
        <v>0</v>
      </c>
    </row>
    <row r="43" spans="2:9" ht="15" customHeight="1" x14ac:dyDescent="0.2">
      <c r="B43" t="s">
        <v>97</v>
      </c>
      <c r="C43" s="12">
        <v>9</v>
      </c>
      <c r="D43" s="8">
        <v>1.23</v>
      </c>
      <c r="E43" s="12">
        <v>6</v>
      </c>
      <c r="F43" s="8">
        <v>1.31</v>
      </c>
      <c r="G43" s="12">
        <v>3</v>
      </c>
      <c r="H43" s="8">
        <v>1.1299999999999999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145</v>
      </c>
      <c r="C47" s="12">
        <v>55</v>
      </c>
      <c r="D47" s="8">
        <v>7.54</v>
      </c>
      <c r="E47" s="12">
        <v>48</v>
      </c>
      <c r="F47" s="8">
        <v>10.5</v>
      </c>
      <c r="G47" s="12">
        <v>7</v>
      </c>
      <c r="H47" s="8">
        <v>2.63</v>
      </c>
      <c r="I47" s="12">
        <v>0</v>
      </c>
    </row>
    <row r="48" spans="2:9" ht="15" customHeight="1" x14ac:dyDescent="0.2">
      <c r="B48" t="s">
        <v>151</v>
      </c>
      <c r="C48" s="12">
        <v>39</v>
      </c>
      <c r="D48" s="8">
        <v>5.35</v>
      </c>
      <c r="E48" s="12">
        <v>38</v>
      </c>
      <c r="F48" s="8">
        <v>8.32</v>
      </c>
      <c r="G48" s="12">
        <v>1</v>
      </c>
      <c r="H48" s="8">
        <v>0.38</v>
      </c>
      <c r="I48" s="12">
        <v>0</v>
      </c>
    </row>
    <row r="49" spans="2:9" ht="15" customHeight="1" x14ac:dyDescent="0.2">
      <c r="B49" t="s">
        <v>149</v>
      </c>
      <c r="C49" s="12">
        <v>33</v>
      </c>
      <c r="D49" s="8">
        <v>4.53</v>
      </c>
      <c r="E49" s="12">
        <v>31</v>
      </c>
      <c r="F49" s="8">
        <v>6.78</v>
      </c>
      <c r="G49" s="12">
        <v>2</v>
      </c>
      <c r="H49" s="8">
        <v>0.75</v>
      </c>
      <c r="I49" s="12">
        <v>0</v>
      </c>
    </row>
    <row r="50" spans="2:9" ht="15" customHeight="1" x14ac:dyDescent="0.2">
      <c r="B50" t="s">
        <v>156</v>
      </c>
      <c r="C50" s="12">
        <v>27</v>
      </c>
      <c r="D50" s="8">
        <v>3.7</v>
      </c>
      <c r="E50" s="12">
        <v>25</v>
      </c>
      <c r="F50" s="8">
        <v>5.47</v>
      </c>
      <c r="G50" s="12">
        <v>2</v>
      </c>
      <c r="H50" s="8">
        <v>0.75</v>
      </c>
      <c r="I50" s="12">
        <v>0</v>
      </c>
    </row>
    <row r="51" spans="2:9" ht="15" customHeight="1" x14ac:dyDescent="0.2">
      <c r="B51" t="s">
        <v>150</v>
      </c>
      <c r="C51" s="12">
        <v>25</v>
      </c>
      <c r="D51" s="8">
        <v>3.43</v>
      </c>
      <c r="E51" s="12">
        <v>23</v>
      </c>
      <c r="F51" s="8">
        <v>5.03</v>
      </c>
      <c r="G51" s="12">
        <v>2</v>
      </c>
      <c r="H51" s="8">
        <v>0.75</v>
      </c>
      <c r="I51" s="12">
        <v>0</v>
      </c>
    </row>
    <row r="52" spans="2:9" ht="15" customHeight="1" x14ac:dyDescent="0.2">
      <c r="B52" t="s">
        <v>148</v>
      </c>
      <c r="C52" s="12">
        <v>22</v>
      </c>
      <c r="D52" s="8">
        <v>3.02</v>
      </c>
      <c r="E52" s="12">
        <v>20</v>
      </c>
      <c r="F52" s="8">
        <v>4.38</v>
      </c>
      <c r="G52" s="12">
        <v>2</v>
      </c>
      <c r="H52" s="8">
        <v>0.75</v>
      </c>
      <c r="I52" s="12">
        <v>0</v>
      </c>
    </row>
    <row r="53" spans="2:9" ht="15" customHeight="1" x14ac:dyDescent="0.2">
      <c r="B53" t="s">
        <v>135</v>
      </c>
      <c r="C53" s="12">
        <v>19</v>
      </c>
      <c r="D53" s="8">
        <v>2.61</v>
      </c>
      <c r="E53" s="12">
        <v>6</v>
      </c>
      <c r="F53" s="8">
        <v>1.31</v>
      </c>
      <c r="G53" s="12">
        <v>13</v>
      </c>
      <c r="H53" s="8">
        <v>4.8899999999999997</v>
      </c>
      <c r="I53" s="12">
        <v>0</v>
      </c>
    </row>
    <row r="54" spans="2:9" ht="15" customHeight="1" x14ac:dyDescent="0.2">
      <c r="B54" t="s">
        <v>153</v>
      </c>
      <c r="C54" s="12">
        <v>19</v>
      </c>
      <c r="D54" s="8">
        <v>2.61</v>
      </c>
      <c r="E54" s="12">
        <v>17</v>
      </c>
      <c r="F54" s="8">
        <v>3.72</v>
      </c>
      <c r="G54" s="12">
        <v>2</v>
      </c>
      <c r="H54" s="8">
        <v>0.75</v>
      </c>
      <c r="I54" s="12">
        <v>0</v>
      </c>
    </row>
    <row r="55" spans="2:9" ht="15" customHeight="1" x14ac:dyDescent="0.2">
      <c r="B55" t="s">
        <v>147</v>
      </c>
      <c r="C55" s="12">
        <v>17</v>
      </c>
      <c r="D55" s="8">
        <v>2.33</v>
      </c>
      <c r="E55" s="12">
        <v>16</v>
      </c>
      <c r="F55" s="8">
        <v>3.5</v>
      </c>
      <c r="G55" s="12">
        <v>1</v>
      </c>
      <c r="H55" s="8">
        <v>0.38</v>
      </c>
      <c r="I55" s="12">
        <v>0</v>
      </c>
    </row>
    <row r="56" spans="2:9" ht="15" customHeight="1" x14ac:dyDescent="0.2">
      <c r="B56" t="s">
        <v>141</v>
      </c>
      <c r="C56" s="12">
        <v>16</v>
      </c>
      <c r="D56" s="8">
        <v>2.19</v>
      </c>
      <c r="E56" s="12">
        <v>11</v>
      </c>
      <c r="F56" s="8">
        <v>2.41</v>
      </c>
      <c r="G56" s="12">
        <v>5</v>
      </c>
      <c r="H56" s="8">
        <v>1.88</v>
      </c>
      <c r="I56" s="12">
        <v>0</v>
      </c>
    </row>
    <row r="57" spans="2:9" ht="15" customHeight="1" x14ac:dyDescent="0.2">
      <c r="B57" t="s">
        <v>154</v>
      </c>
      <c r="C57" s="12">
        <v>16</v>
      </c>
      <c r="D57" s="8">
        <v>2.19</v>
      </c>
      <c r="E57" s="12">
        <v>13</v>
      </c>
      <c r="F57" s="8">
        <v>2.84</v>
      </c>
      <c r="G57" s="12">
        <v>3</v>
      </c>
      <c r="H57" s="8">
        <v>1.1299999999999999</v>
      </c>
      <c r="I57" s="12">
        <v>0</v>
      </c>
    </row>
    <row r="58" spans="2:9" ht="15" customHeight="1" x14ac:dyDescent="0.2">
      <c r="B58" t="s">
        <v>140</v>
      </c>
      <c r="C58" s="12">
        <v>14</v>
      </c>
      <c r="D58" s="8">
        <v>1.92</v>
      </c>
      <c r="E58" s="12">
        <v>3</v>
      </c>
      <c r="F58" s="8">
        <v>0.66</v>
      </c>
      <c r="G58" s="12">
        <v>10</v>
      </c>
      <c r="H58" s="8">
        <v>3.76</v>
      </c>
      <c r="I58" s="12">
        <v>1</v>
      </c>
    </row>
    <row r="59" spans="2:9" ht="15" customHeight="1" x14ac:dyDescent="0.2">
      <c r="B59" t="s">
        <v>167</v>
      </c>
      <c r="C59" s="12">
        <v>13</v>
      </c>
      <c r="D59" s="8">
        <v>1.78</v>
      </c>
      <c r="E59" s="12">
        <v>9</v>
      </c>
      <c r="F59" s="8">
        <v>1.97</v>
      </c>
      <c r="G59" s="12">
        <v>4</v>
      </c>
      <c r="H59" s="8">
        <v>1.5</v>
      </c>
      <c r="I59" s="12">
        <v>0</v>
      </c>
    </row>
    <row r="60" spans="2:9" ht="15" customHeight="1" x14ac:dyDescent="0.2">
      <c r="B60" t="s">
        <v>143</v>
      </c>
      <c r="C60" s="12">
        <v>12</v>
      </c>
      <c r="D60" s="8">
        <v>1.65</v>
      </c>
      <c r="E60" s="12">
        <v>9</v>
      </c>
      <c r="F60" s="8">
        <v>1.97</v>
      </c>
      <c r="G60" s="12">
        <v>3</v>
      </c>
      <c r="H60" s="8">
        <v>1.1299999999999999</v>
      </c>
      <c r="I60" s="12">
        <v>0</v>
      </c>
    </row>
    <row r="61" spans="2:9" ht="15" customHeight="1" x14ac:dyDescent="0.2">
      <c r="B61" t="s">
        <v>166</v>
      </c>
      <c r="C61" s="12">
        <v>11</v>
      </c>
      <c r="D61" s="8">
        <v>1.51</v>
      </c>
      <c r="E61" s="12">
        <v>8</v>
      </c>
      <c r="F61" s="8">
        <v>1.75</v>
      </c>
      <c r="G61" s="12">
        <v>3</v>
      </c>
      <c r="H61" s="8">
        <v>1.1299999999999999</v>
      </c>
      <c r="I61" s="12">
        <v>0</v>
      </c>
    </row>
    <row r="62" spans="2:9" ht="15" customHeight="1" x14ac:dyDescent="0.2">
      <c r="B62" t="s">
        <v>138</v>
      </c>
      <c r="C62" s="12">
        <v>10</v>
      </c>
      <c r="D62" s="8">
        <v>1.37</v>
      </c>
      <c r="E62" s="12">
        <v>2</v>
      </c>
      <c r="F62" s="8">
        <v>0.44</v>
      </c>
      <c r="G62" s="12">
        <v>8</v>
      </c>
      <c r="H62" s="8">
        <v>3.01</v>
      </c>
      <c r="I62" s="12">
        <v>0</v>
      </c>
    </row>
    <row r="63" spans="2:9" ht="15" customHeight="1" x14ac:dyDescent="0.2">
      <c r="B63" t="s">
        <v>174</v>
      </c>
      <c r="C63" s="12">
        <v>10</v>
      </c>
      <c r="D63" s="8">
        <v>1.37</v>
      </c>
      <c r="E63" s="12">
        <v>8</v>
      </c>
      <c r="F63" s="8">
        <v>1.75</v>
      </c>
      <c r="G63" s="12">
        <v>2</v>
      </c>
      <c r="H63" s="8">
        <v>0.75</v>
      </c>
      <c r="I63" s="12">
        <v>0</v>
      </c>
    </row>
    <row r="64" spans="2:9" ht="15" customHeight="1" x14ac:dyDescent="0.2">
      <c r="B64" t="s">
        <v>160</v>
      </c>
      <c r="C64" s="12">
        <v>10</v>
      </c>
      <c r="D64" s="8">
        <v>1.37</v>
      </c>
      <c r="E64" s="12">
        <v>7</v>
      </c>
      <c r="F64" s="8">
        <v>1.53</v>
      </c>
      <c r="G64" s="12">
        <v>3</v>
      </c>
      <c r="H64" s="8">
        <v>1.1299999999999999</v>
      </c>
      <c r="I64" s="12">
        <v>0</v>
      </c>
    </row>
    <row r="65" spans="2:9" ht="15" customHeight="1" x14ac:dyDescent="0.2">
      <c r="B65" t="s">
        <v>152</v>
      </c>
      <c r="C65" s="12">
        <v>10</v>
      </c>
      <c r="D65" s="8">
        <v>1.37</v>
      </c>
      <c r="E65" s="12">
        <v>8</v>
      </c>
      <c r="F65" s="8">
        <v>1.75</v>
      </c>
      <c r="G65" s="12">
        <v>2</v>
      </c>
      <c r="H65" s="8">
        <v>0.75</v>
      </c>
      <c r="I65" s="12">
        <v>0</v>
      </c>
    </row>
    <row r="66" spans="2:9" ht="15" customHeight="1" x14ac:dyDescent="0.2">
      <c r="B66" t="s">
        <v>173</v>
      </c>
      <c r="C66" s="12">
        <v>9</v>
      </c>
      <c r="D66" s="8">
        <v>1.23</v>
      </c>
      <c r="E66" s="12">
        <v>8</v>
      </c>
      <c r="F66" s="8">
        <v>1.75</v>
      </c>
      <c r="G66" s="12">
        <v>1</v>
      </c>
      <c r="H66" s="8">
        <v>0.38</v>
      </c>
      <c r="I66" s="12">
        <v>0</v>
      </c>
    </row>
    <row r="67" spans="2:9" ht="15" customHeight="1" x14ac:dyDescent="0.2">
      <c r="B67" t="s">
        <v>168</v>
      </c>
      <c r="C67" s="12">
        <v>9</v>
      </c>
      <c r="D67" s="8">
        <v>1.23</v>
      </c>
      <c r="E67" s="12">
        <v>1</v>
      </c>
      <c r="F67" s="8">
        <v>0.22</v>
      </c>
      <c r="G67" s="12">
        <v>8</v>
      </c>
      <c r="H67" s="8">
        <v>3.01</v>
      </c>
      <c r="I67" s="12">
        <v>0</v>
      </c>
    </row>
    <row r="68" spans="2:9" ht="15" customHeight="1" x14ac:dyDescent="0.2">
      <c r="B68" t="s">
        <v>144</v>
      </c>
      <c r="C68" s="12">
        <v>9</v>
      </c>
      <c r="D68" s="8">
        <v>1.23</v>
      </c>
      <c r="E68" s="12">
        <v>3</v>
      </c>
      <c r="F68" s="8">
        <v>0.66</v>
      </c>
      <c r="G68" s="12">
        <v>6</v>
      </c>
      <c r="H68" s="8">
        <v>2.2599999999999998</v>
      </c>
      <c r="I68" s="12">
        <v>0</v>
      </c>
    </row>
    <row r="69" spans="2:9" ht="15" customHeight="1" x14ac:dyDescent="0.2">
      <c r="B69" t="s">
        <v>170</v>
      </c>
      <c r="C69" s="12">
        <v>9</v>
      </c>
      <c r="D69" s="8">
        <v>1.23</v>
      </c>
      <c r="E69" s="12">
        <v>8</v>
      </c>
      <c r="F69" s="8">
        <v>1.75</v>
      </c>
      <c r="G69" s="12">
        <v>1</v>
      </c>
      <c r="H69" s="8">
        <v>0.38</v>
      </c>
      <c r="I69" s="12">
        <v>0</v>
      </c>
    </row>
    <row r="71" spans="2:9" ht="15" customHeight="1" x14ac:dyDescent="0.2">
      <c r="B71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E91D-E65D-456C-A85A-083D194AEDB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187</v>
      </c>
      <c r="D6" s="8">
        <v>14.21</v>
      </c>
      <c r="E6" s="12">
        <v>65</v>
      </c>
      <c r="F6" s="8">
        <v>8.76</v>
      </c>
      <c r="G6" s="12">
        <v>122</v>
      </c>
      <c r="H6" s="8">
        <v>21.67</v>
      </c>
      <c r="I6" s="12">
        <v>0</v>
      </c>
    </row>
    <row r="7" spans="2:9" ht="15" customHeight="1" x14ac:dyDescent="0.2">
      <c r="B7" t="s">
        <v>53</v>
      </c>
      <c r="C7" s="12">
        <v>79</v>
      </c>
      <c r="D7" s="8">
        <v>6</v>
      </c>
      <c r="E7" s="12">
        <v>29</v>
      </c>
      <c r="F7" s="8">
        <v>3.91</v>
      </c>
      <c r="G7" s="12">
        <v>49</v>
      </c>
      <c r="H7" s="8">
        <v>8.6999999999999993</v>
      </c>
      <c r="I7" s="12">
        <v>1</v>
      </c>
    </row>
    <row r="8" spans="2:9" ht="15" customHeight="1" x14ac:dyDescent="0.2">
      <c r="B8" t="s">
        <v>54</v>
      </c>
      <c r="C8" s="12">
        <v>8</v>
      </c>
      <c r="D8" s="8">
        <v>0.61</v>
      </c>
      <c r="E8" s="12">
        <v>0</v>
      </c>
      <c r="F8" s="8">
        <v>0</v>
      </c>
      <c r="G8" s="12">
        <v>8</v>
      </c>
      <c r="H8" s="8">
        <v>1.42</v>
      </c>
      <c r="I8" s="12">
        <v>0</v>
      </c>
    </row>
    <row r="9" spans="2:9" ht="15" customHeight="1" x14ac:dyDescent="0.2">
      <c r="B9" t="s">
        <v>55</v>
      </c>
      <c r="C9" s="12">
        <v>7</v>
      </c>
      <c r="D9" s="8">
        <v>0.53</v>
      </c>
      <c r="E9" s="12">
        <v>0</v>
      </c>
      <c r="F9" s="8">
        <v>0</v>
      </c>
      <c r="G9" s="12">
        <v>7</v>
      </c>
      <c r="H9" s="8">
        <v>1.24</v>
      </c>
      <c r="I9" s="12">
        <v>0</v>
      </c>
    </row>
    <row r="10" spans="2:9" ht="15" customHeight="1" x14ac:dyDescent="0.2">
      <c r="B10" t="s">
        <v>56</v>
      </c>
      <c r="C10" s="12">
        <v>14</v>
      </c>
      <c r="D10" s="8">
        <v>1.06</v>
      </c>
      <c r="E10" s="12">
        <v>1</v>
      </c>
      <c r="F10" s="8">
        <v>0.13</v>
      </c>
      <c r="G10" s="12">
        <v>13</v>
      </c>
      <c r="H10" s="8">
        <v>2.31</v>
      </c>
      <c r="I10" s="12">
        <v>0</v>
      </c>
    </row>
    <row r="11" spans="2:9" ht="15" customHeight="1" x14ac:dyDescent="0.2">
      <c r="B11" t="s">
        <v>57</v>
      </c>
      <c r="C11" s="12">
        <v>384</v>
      </c>
      <c r="D11" s="8">
        <v>29.18</v>
      </c>
      <c r="E11" s="12">
        <v>219</v>
      </c>
      <c r="F11" s="8">
        <v>29.51</v>
      </c>
      <c r="G11" s="12">
        <v>165</v>
      </c>
      <c r="H11" s="8">
        <v>29.31</v>
      </c>
      <c r="I11" s="12">
        <v>0</v>
      </c>
    </row>
    <row r="12" spans="2:9" ht="15" customHeight="1" x14ac:dyDescent="0.2">
      <c r="B12" t="s">
        <v>58</v>
      </c>
      <c r="C12" s="12">
        <v>15</v>
      </c>
      <c r="D12" s="8">
        <v>1.1399999999999999</v>
      </c>
      <c r="E12" s="12">
        <v>7</v>
      </c>
      <c r="F12" s="8">
        <v>0.94</v>
      </c>
      <c r="G12" s="12">
        <v>8</v>
      </c>
      <c r="H12" s="8">
        <v>1.42</v>
      </c>
      <c r="I12" s="12">
        <v>0</v>
      </c>
    </row>
    <row r="13" spans="2:9" ht="15" customHeight="1" x14ac:dyDescent="0.2">
      <c r="B13" t="s">
        <v>59</v>
      </c>
      <c r="C13" s="12">
        <v>72</v>
      </c>
      <c r="D13" s="8">
        <v>5.47</v>
      </c>
      <c r="E13" s="12">
        <v>32</v>
      </c>
      <c r="F13" s="8">
        <v>4.3099999999999996</v>
      </c>
      <c r="G13" s="12">
        <v>40</v>
      </c>
      <c r="H13" s="8">
        <v>7.1</v>
      </c>
      <c r="I13" s="12">
        <v>0</v>
      </c>
    </row>
    <row r="14" spans="2:9" ht="15" customHeight="1" x14ac:dyDescent="0.2">
      <c r="B14" t="s">
        <v>60</v>
      </c>
      <c r="C14" s="12">
        <v>63</v>
      </c>
      <c r="D14" s="8">
        <v>4.79</v>
      </c>
      <c r="E14" s="12">
        <v>31</v>
      </c>
      <c r="F14" s="8">
        <v>4.18</v>
      </c>
      <c r="G14" s="12">
        <v>31</v>
      </c>
      <c r="H14" s="8">
        <v>5.51</v>
      </c>
      <c r="I14" s="12">
        <v>0</v>
      </c>
    </row>
    <row r="15" spans="2:9" ht="15" customHeight="1" x14ac:dyDescent="0.2">
      <c r="B15" t="s">
        <v>61</v>
      </c>
      <c r="C15" s="12">
        <v>148</v>
      </c>
      <c r="D15" s="8">
        <v>11.25</v>
      </c>
      <c r="E15" s="12">
        <v>117</v>
      </c>
      <c r="F15" s="8">
        <v>15.77</v>
      </c>
      <c r="G15" s="12">
        <v>28</v>
      </c>
      <c r="H15" s="8">
        <v>4.97</v>
      </c>
      <c r="I15" s="12">
        <v>0</v>
      </c>
    </row>
    <row r="16" spans="2:9" ht="15" customHeight="1" x14ac:dyDescent="0.2">
      <c r="B16" t="s">
        <v>62</v>
      </c>
      <c r="C16" s="12">
        <v>191</v>
      </c>
      <c r="D16" s="8">
        <v>14.51</v>
      </c>
      <c r="E16" s="12">
        <v>158</v>
      </c>
      <c r="F16" s="8">
        <v>21.29</v>
      </c>
      <c r="G16" s="12">
        <v>33</v>
      </c>
      <c r="H16" s="8">
        <v>5.86</v>
      </c>
      <c r="I16" s="12">
        <v>0</v>
      </c>
    </row>
    <row r="17" spans="2:9" ht="15" customHeight="1" x14ac:dyDescent="0.2">
      <c r="B17" t="s">
        <v>63</v>
      </c>
      <c r="C17" s="12">
        <v>29</v>
      </c>
      <c r="D17" s="8">
        <v>2.2000000000000002</v>
      </c>
      <c r="E17" s="12">
        <v>19</v>
      </c>
      <c r="F17" s="8">
        <v>2.56</v>
      </c>
      <c r="G17" s="12">
        <v>6</v>
      </c>
      <c r="H17" s="8">
        <v>1.07</v>
      </c>
      <c r="I17" s="12">
        <v>0</v>
      </c>
    </row>
    <row r="18" spans="2:9" ht="15" customHeight="1" x14ac:dyDescent="0.2">
      <c r="B18" t="s">
        <v>64</v>
      </c>
      <c r="C18" s="12">
        <v>50</v>
      </c>
      <c r="D18" s="8">
        <v>3.8</v>
      </c>
      <c r="E18" s="12">
        <v>26</v>
      </c>
      <c r="F18" s="8">
        <v>3.5</v>
      </c>
      <c r="G18" s="12">
        <v>24</v>
      </c>
      <c r="H18" s="8">
        <v>4.26</v>
      </c>
      <c r="I18" s="12">
        <v>0</v>
      </c>
    </row>
    <row r="19" spans="2:9" ht="15" customHeight="1" x14ac:dyDescent="0.2">
      <c r="B19" t="s">
        <v>65</v>
      </c>
      <c r="C19" s="12">
        <v>69</v>
      </c>
      <c r="D19" s="8">
        <v>5.24</v>
      </c>
      <c r="E19" s="12">
        <v>38</v>
      </c>
      <c r="F19" s="8">
        <v>5.12</v>
      </c>
      <c r="G19" s="12">
        <v>29</v>
      </c>
      <c r="H19" s="8">
        <v>5.15</v>
      </c>
      <c r="I19" s="12">
        <v>1</v>
      </c>
    </row>
    <row r="20" spans="2:9" ht="15" customHeight="1" x14ac:dyDescent="0.2">
      <c r="B20" s="9" t="s">
        <v>281</v>
      </c>
      <c r="C20" s="12">
        <f>SUM(LTBL_43206[総数／事業所数])</f>
        <v>1316</v>
      </c>
      <c r="E20" s="12">
        <f>SUBTOTAL(109,LTBL_43206[個人／事業所数])</f>
        <v>742</v>
      </c>
      <c r="G20" s="12">
        <f>SUBTOTAL(109,LTBL_43206[法人／事業所数])</f>
        <v>563</v>
      </c>
      <c r="I20" s="12">
        <f>SUBTOTAL(109,LTBL_43206[法人以外の団体／事業所数])</f>
        <v>2</v>
      </c>
    </row>
    <row r="21" spans="2:9" ht="15" customHeight="1" x14ac:dyDescent="0.2">
      <c r="E21" s="11">
        <f>LTBL_43206[[#Totals],[個人／事業所数]]/LTBL_43206[[#Totals],[総数／事業所数]]</f>
        <v>0.56382978723404253</v>
      </c>
      <c r="G21" s="11">
        <f>LTBL_43206[[#Totals],[法人／事業所数]]/LTBL_43206[[#Totals],[総数／事業所数]]</f>
        <v>0.42781155015197569</v>
      </c>
      <c r="I21" s="11">
        <f>LTBL_43206[[#Totals],[法人以外の団体／事業所数]]/LTBL_43206[[#Totals],[総数／事業所数]]</f>
        <v>1.5197568389057751E-3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167</v>
      </c>
      <c r="D24" s="8">
        <v>12.69</v>
      </c>
      <c r="E24" s="12">
        <v>148</v>
      </c>
      <c r="F24" s="8">
        <v>19.95</v>
      </c>
      <c r="G24" s="12">
        <v>19</v>
      </c>
      <c r="H24" s="8">
        <v>3.37</v>
      </c>
      <c r="I24" s="12">
        <v>0</v>
      </c>
    </row>
    <row r="25" spans="2:9" ht="15" customHeight="1" x14ac:dyDescent="0.2">
      <c r="B25" t="s">
        <v>83</v>
      </c>
      <c r="C25" s="12">
        <v>125</v>
      </c>
      <c r="D25" s="8">
        <v>9.5</v>
      </c>
      <c r="E25" s="12">
        <v>67</v>
      </c>
      <c r="F25" s="8">
        <v>9.0299999999999994</v>
      </c>
      <c r="G25" s="12">
        <v>58</v>
      </c>
      <c r="H25" s="8">
        <v>10.3</v>
      </c>
      <c r="I25" s="12">
        <v>0</v>
      </c>
    </row>
    <row r="26" spans="2:9" ht="15" customHeight="1" x14ac:dyDescent="0.2">
      <c r="B26" t="s">
        <v>88</v>
      </c>
      <c r="C26" s="12">
        <v>121</v>
      </c>
      <c r="D26" s="8">
        <v>9.19</v>
      </c>
      <c r="E26" s="12">
        <v>106</v>
      </c>
      <c r="F26" s="8">
        <v>14.29</v>
      </c>
      <c r="G26" s="12">
        <v>15</v>
      </c>
      <c r="H26" s="8">
        <v>2.66</v>
      </c>
      <c r="I26" s="12">
        <v>0</v>
      </c>
    </row>
    <row r="27" spans="2:9" ht="15" customHeight="1" x14ac:dyDescent="0.2">
      <c r="B27" t="s">
        <v>74</v>
      </c>
      <c r="C27" s="12">
        <v>103</v>
      </c>
      <c r="D27" s="8">
        <v>7.83</v>
      </c>
      <c r="E27" s="12">
        <v>28</v>
      </c>
      <c r="F27" s="8">
        <v>3.77</v>
      </c>
      <c r="G27" s="12">
        <v>75</v>
      </c>
      <c r="H27" s="8">
        <v>13.32</v>
      </c>
      <c r="I27" s="12">
        <v>0</v>
      </c>
    </row>
    <row r="28" spans="2:9" ht="15" customHeight="1" x14ac:dyDescent="0.2">
      <c r="B28" t="s">
        <v>81</v>
      </c>
      <c r="C28" s="12">
        <v>77</v>
      </c>
      <c r="D28" s="8">
        <v>5.85</v>
      </c>
      <c r="E28" s="12">
        <v>62</v>
      </c>
      <c r="F28" s="8">
        <v>8.36</v>
      </c>
      <c r="G28" s="12">
        <v>15</v>
      </c>
      <c r="H28" s="8">
        <v>2.66</v>
      </c>
      <c r="I28" s="12">
        <v>0</v>
      </c>
    </row>
    <row r="29" spans="2:9" ht="15" customHeight="1" x14ac:dyDescent="0.2">
      <c r="B29" t="s">
        <v>82</v>
      </c>
      <c r="C29" s="12">
        <v>68</v>
      </c>
      <c r="D29" s="8">
        <v>5.17</v>
      </c>
      <c r="E29" s="12">
        <v>40</v>
      </c>
      <c r="F29" s="8">
        <v>5.39</v>
      </c>
      <c r="G29" s="12">
        <v>28</v>
      </c>
      <c r="H29" s="8">
        <v>4.97</v>
      </c>
      <c r="I29" s="12">
        <v>0</v>
      </c>
    </row>
    <row r="30" spans="2:9" ht="15" customHeight="1" x14ac:dyDescent="0.2">
      <c r="B30" t="s">
        <v>85</v>
      </c>
      <c r="C30" s="12">
        <v>52</v>
      </c>
      <c r="D30" s="8">
        <v>3.95</v>
      </c>
      <c r="E30" s="12">
        <v>26</v>
      </c>
      <c r="F30" s="8">
        <v>3.5</v>
      </c>
      <c r="G30" s="12">
        <v>26</v>
      </c>
      <c r="H30" s="8">
        <v>4.62</v>
      </c>
      <c r="I30" s="12">
        <v>0</v>
      </c>
    </row>
    <row r="31" spans="2:9" ht="15" customHeight="1" x14ac:dyDescent="0.2">
      <c r="B31" t="s">
        <v>75</v>
      </c>
      <c r="C31" s="12">
        <v>46</v>
      </c>
      <c r="D31" s="8">
        <v>3.5</v>
      </c>
      <c r="E31" s="12">
        <v>26</v>
      </c>
      <c r="F31" s="8">
        <v>3.5</v>
      </c>
      <c r="G31" s="12">
        <v>20</v>
      </c>
      <c r="H31" s="8">
        <v>3.55</v>
      </c>
      <c r="I31" s="12">
        <v>0</v>
      </c>
    </row>
    <row r="32" spans="2:9" ht="15" customHeight="1" x14ac:dyDescent="0.2">
      <c r="B32" t="s">
        <v>80</v>
      </c>
      <c r="C32" s="12">
        <v>40</v>
      </c>
      <c r="D32" s="8">
        <v>3.04</v>
      </c>
      <c r="E32" s="12">
        <v>24</v>
      </c>
      <c r="F32" s="8">
        <v>3.23</v>
      </c>
      <c r="G32" s="12">
        <v>16</v>
      </c>
      <c r="H32" s="8">
        <v>2.84</v>
      </c>
      <c r="I32" s="12">
        <v>0</v>
      </c>
    </row>
    <row r="33" spans="2:9" ht="15" customHeight="1" x14ac:dyDescent="0.2">
      <c r="B33" t="s">
        <v>76</v>
      </c>
      <c r="C33" s="12">
        <v>38</v>
      </c>
      <c r="D33" s="8">
        <v>2.89</v>
      </c>
      <c r="E33" s="12">
        <v>11</v>
      </c>
      <c r="F33" s="8">
        <v>1.48</v>
      </c>
      <c r="G33" s="12">
        <v>27</v>
      </c>
      <c r="H33" s="8">
        <v>4.8</v>
      </c>
      <c r="I33" s="12">
        <v>0</v>
      </c>
    </row>
    <row r="34" spans="2:9" ht="15" customHeight="1" x14ac:dyDescent="0.2">
      <c r="B34" t="s">
        <v>93</v>
      </c>
      <c r="C34" s="12">
        <v>38</v>
      </c>
      <c r="D34" s="8">
        <v>2.89</v>
      </c>
      <c r="E34" s="12">
        <v>32</v>
      </c>
      <c r="F34" s="8">
        <v>4.3099999999999996</v>
      </c>
      <c r="G34" s="12">
        <v>6</v>
      </c>
      <c r="H34" s="8">
        <v>1.07</v>
      </c>
      <c r="I34" s="12">
        <v>0</v>
      </c>
    </row>
    <row r="35" spans="2:9" ht="15" customHeight="1" x14ac:dyDescent="0.2">
      <c r="B35" t="s">
        <v>86</v>
      </c>
      <c r="C35" s="12">
        <v>34</v>
      </c>
      <c r="D35" s="8">
        <v>2.58</v>
      </c>
      <c r="E35" s="12">
        <v>24</v>
      </c>
      <c r="F35" s="8">
        <v>3.23</v>
      </c>
      <c r="G35" s="12">
        <v>10</v>
      </c>
      <c r="H35" s="8">
        <v>1.78</v>
      </c>
      <c r="I35" s="12">
        <v>0</v>
      </c>
    </row>
    <row r="36" spans="2:9" ht="15" customHeight="1" x14ac:dyDescent="0.2">
      <c r="B36" t="s">
        <v>78</v>
      </c>
      <c r="C36" s="12">
        <v>30</v>
      </c>
      <c r="D36" s="8">
        <v>2.2799999999999998</v>
      </c>
      <c r="E36" s="12">
        <v>10</v>
      </c>
      <c r="F36" s="8">
        <v>1.35</v>
      </c>
      <c r="G36" s="12">
        <v>20</v>
      </c>
      <c r="H36" s="8">
        <v>3.55</v>
      </c>
      <c r="I36" s="12">
        <v>0</v>
      </c>
    </row>
    <row r="37" spans="2:9" ht="15" customHeight="1" x14ac:dyDescent="0.2">
      <c r="B37" t="s">
        <v>87</v>
      </c>
      <c r="C37" s="12">
        <v>29</v>
      </c>
      <c r="D37" s="8">
        <v>2.2000000000000002</v>
      </c>
      <c r="E37" s="12">
        <v>7</v>
      </c>
      <c r="F37" s="8">
        <v>0.94</v>
      </c>
      <c r="G37" s="12">
        <v>21</v>
      </c>
      <c r="H37" s="8">
        <v>3.73</v>
      </c>
      <c r="I37" s="12">
        <v>0</v>
      </c>
    </row>
    <row r="38" spans="2:9" ht="15" customHeight="1" x14ac:dyDescent="0.2">
      <c r="B38" t="s">
        <v>90</v>
      </c>
      <c r="C38" s="12">
        <v>29</v>
      </c>
      <c r="D38" s="8">
        <v>2.2000000000000002</v>
      </c>
      <c r="E38" s="12">
        <v>19</v>
      </c>
      <c r="F38" s="8">
        <v>2.56</v>
      </c>
      <c r="G38" s="12">
        <v>6</v>
      </c>
      <c r="H38" s="8">
        <v>1.07</v>
      </c>
      <c r="I38" s="12">
        <v>0</v>
      </c>
    </row>
    <row r="39" spans="2:9" ht="15" customHeight="1" x14ac:dyDescent="0.2">
      <c r="B39" t="s">
        <v>91</v>
      </c>
      <c r="C39" s="12">
        <v>29</v>
      </c>
      <c r="D39" s="8">
        <v>2.2000000000000002</v>
      </c>
      <c r="E39" s="12">
        <v>26</v>
      </c>
      <c r="F39" s="8">
        <v>3.5</v>
      </c>
      <c r="G39" s="12">
        <v>3</v>
      </c>
      <c r="H39" s="8">
        <v>0.53</v>
      </c>
      <c r="I39" s="12">
        <v>0</v>
      </c>
    </row>
    <row r="40" spans="2:9" ht="15" customHeight="1" x14ac:dyDescent="0.2">
      <c r="B40" t="s">
        <v>77</v>
      </c>
      <c r="C40" s="12">
        <v>25</v>
      </c>
      <c r="D40" s="8">
        <v>1.9</v>
      </c>
      <c r="E40" s="12">
        <v>11</v>
      </c>
      <c r="F40" s="8">
        <v>1.48</v>
      </c>
      <c r="G40" s="12">
        <v>13</v>
      </c>
      <c r="H40" s="8">
        <v>2.31</v>
      </c>
      <c r="I40" s="12">
        <v>1</v>
      </c>
    </row>
    <row r="41" spans="2:9" ht="15" customHeight="1" x14ac:dyDescent="0.2">
      <c r="B41" t="s">
        <v>101</v>
      </c>
      <c r="C41" s="12">
        <v>22</v>
      </c>
      <c r="D41" s="8">
        <v>1.67</v>
      </c>
      <c r="E41" s="12">
        <v>9</v>
      </c>
      <c r="F41" s="8">
        <v>1.21</v>
      </c>
      <c r="G41" s="12">
        <v>10</v>
      </c>
      <c r="H41" s="8">
        <v>1.78</v>
      </c>
      <c r="I41" s="12">
        <v>0</v>
      </c>
    </row>
    <row r="42" spans="2:9" ht="15" customHeight="1" x14ac:dyDescent="0.2">
      <c r="B42" t="s">
        <v>92</v>
      </c>
      <c r="C42" s="12">
        <v>21</v>
      </c>
      <c r="D42" s="8">
        <v>1.6</v>
      </c>
      <c r="E42" s="12">
        <v>0</v>
      </c>
      <c r="F42" s="8">
        <v>0</v>
      </c>
      <c r="G42" s="12">
        <v>21</v>
      </c>
      <c r="H42" s="8">
        <v>3.73</v>
      </c>
      <c r="I42" s="12">
        <v>0</v>
      </c>
    </row>
    <row r="43" spans="2:9" ht="15" customHeight="1" x14ac:dyDescent="0.2">
      <c r="B43" t="s">
        <v>99</v>
      </c>
      <c r="C43" s="12">
        <v>15</v>
      </c>
      <c r="D43" s="8">
        <v>1.1399999999999999</v>
      </c>
      <c r="E43" s="12">
        <v>4</v>
      </c>
      <c r="F43" s="8">
        <v>0.54</v>
      </c>
      <c r="G43" s="12">
        <v>11</v>
      </c>
      <c r="H43" s="8">
        <v>1.95</v>
      </c>
      <c r="I43" s="12">
        <v>0</v>
      </c>
    </row>
    <row r="44" spans="2:9" ht="15" customHeight="1" x14ac:dyDescent="0.2">
      <c r="B44" t="s">
        <v>96</v>
      </c>
      <c r="C44" s="12">
        <v>15</v>
      </c>
      <c r="D44" s="8">
        <v>1.1399999999999999</v>
      </c>
      <c r="E44" s="12">
        <v>7</v>
      </c>
      <c r="F44" s="8">
        <v>0.94</v>
      </c>
      <c r="G44" s="12">
        <v>8</v>
      </c>
      <c r="H44" s="8">
        <v>1.42</v>
      </c>
      <c r="I44" s="12">
        <v>0</v>
      </c>
    </row>
    <row r="47" spans="2:9" ht="33" customHeight="1" x14ac:dyDescent="0.2">
      <c r="B47" t="s">
        <v>283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151</v>
      </c>
      <c r="C48" s="12">
        <v>88</v>
      </c>
      <c r="D48" s="8">
        <v>6.69</v>
      </c>
      <c r="E48" s="12">
        <v>82</v>
      </c>
      <c r="F48" s="8">
        <v>11.05</v>
      </c>
      <c r="G48" s="12">
        <v>6</v>
      </c>
      <c r="H48" s="8">
        <v>1.07</v>
      </c>
      <c r="I48" s="12">
        <v>0</v>
      </c>
    </row>
    <row r="49" spans="2:9" ht="15" customHeight="1" x14ac:dyDescent="0.2">
      <c r="B49" t="s">
        <v>150</v>
      </c>
      <c r="C49" s="12">
        <v>56</v>
      </c>
      <c r="D49" s="8">
        <v>4.26</v>
      </c>
      <c r="E49" s="12">
        <v>51</v>
      </c>
      <c r="F49" s="8">
        <v>6.87</v>
      </c>
      <c r="G49" s="12">
        <v>5</v>
      </c>
      <c r="H49" s="8">
        <v>0.89</v>
      </c>
      <c r="I49" s="12">
        <v>0</v>
      </c>
    </row>
    <row r="50" spans="2:9" ht="15" customHeight="1" x14ac:dyDescent="0.2">
      <c r="B50" t="s">
        <v>135</v>
      </c>
      <c r="C50" s="12">
        <v>45</v>
      </c>
      <c r="D50" s="8">
        <v>3.42</v>
      </c>
      <c r="E50" s="12">
        <v>5</v>
      </c>
      <c r="F50" s="8">
        <v>0.67</v>
      </c>
      <c r="G50" s="12">
        <v>40</v>
      </c>
      <c r="H50" s="8">
        <v>7.1</v>
      </c>
      <c r="I50" s="12">
        <v>0</v>
      </c>
    </row>
    <row r="51" spans="2:9" ht="15" customHeight="1" x14ac:dyDescent="0.2">
      <c r="B51" t="s">
        <v>141</v>
      </c>
      <c r="C51" s="12">
        <v>45</v>
      </c>
      <c r="D51" s="8">
        <v>3.42</v>
      </c>
      <c r="E51" s="12">
        <v>29</v>
      </c>
      <c r="F51" s="8">
        <v>3.91</v>
      </c>
      <c r="G51" s="12">
        <v>16</v>
      </c>
      <c r="H51" s="8">
        <v>2.84</v>
      </c>
      <c r="I51" s="12">
        <v>0</v>
      </c>
    </row>
    <row r="52" spans="2:9" ht="15" customHeight="1" x14ac:dyDescent="0.2">
      <c r="B52" t="s">
        <v>145</v>
      </c>
      <c r="C52" s="12">
        <v>42</v>
      </c>
      <c r="D52" s="8">
        <v>3.19</v>
      </c>
      <c r="E52" s="12">
        <v>23</v>
      </c>
      <c r="F52" s="8">
        <v>3.1</v>
      </c>
      <c r="G52" s="12">
        <v>19</v>
      </c>
      <c r="H52" s="8">
        <v>3.37</v>
      </c>
      <c r="I52" s="12">
        <v>0</v>
      </c>
    </row>
    <row r="53" spans="2:9" ht="15" customHeight="1" x14ac:dyDescent="0.2">
      <c r="B53" t="s">
        <v>148</v>
      </c>
      <c r="C53" s="12">
        <v>40</v>
      </c>
      <c r="D53" s="8">
        <v>3.04</v>
      </c>
      <c r="E53" s="12">
        <v>39</v>
      </c>
      <c r="F53" s="8">
        <v>5.26</v>
      </c>
      <c r="G53" s="12">
        <v>1</v>
      </c>
      <c r="H53" s="8">
        <v>0.18</v>
      </c>
      <c r="I53" s="12">
        <v>0</v>
      </c>
    </row>
    <row r="54" spans="2:9" ht="15" customHeight="1" x14ac:dyDescent="0.2">
      <c r="B54" t="s">
        <v>154</v>
      </c>
      <c r="C54" s="12">
        <v>38</v>
      </c>
      <c r="D54" s="8">
        <v>2.89</v>
      </c>
      <c r="E54" s="12">
        <v>32</v>
      </c>
      <c r="F54" s="8">
        <v>4.3099999999999996</v>
      </c>
      <c r="G54" s="12">
        <v>6</v>
      </c>
      <c r="H54" s="8">
        <v>1.07</v>
      </c>
      <c r="I54" s="12">
        <v>0</v>
      </c>
    </row>
    <row r="55" spans="2:9" ht="15" customHeight="1" x14ac:dyDescent="0.2">
      <c r="B55" t="s">
        <v>137</v>
      </c>
      <c r="C55" s="12">
        <v>34</v>
      </c>
      <c r="D55" s="8">
        <v>2.58</v>
      </c>
      <c r="E55" s="12">
        <v>18</v>
      </c>
      <c r="F55" s="8">
        <v>2.4300000000000002</v>
      </c>
      <c r="G55" s="12">
        <v>16</v>
      </c>
      <c r="H55" s="8">
        <v>2.84</v>
      </c>
      <c r="I55" s="12">
        <v>0</v>
      </c>
    </row>
    <row r="56" spans="2:9" ht="15" customHeight="1" x14ac:dyDescent="0.2">
      <c r="B56" t="s">
        <v>140</v>
      </c>
      <c r="C56" s="12">
        <v>34</v>
      </c>
      <c r="D56" s="8">
        <v>2.58</v>
      </c>
      <c r="E56" s="12">
        <v>29</v>
      </c>
      <c r="F56" s="8">
        <v>3.91</v>
      </c>
      <c r="G56" s="12">
        <v>5</v>
      </c>
      <c r="H56" s="8">
        <v>0.89</v>
      </c>
      <c r="I56" s="12">
        <v>0</v>
      </c>
    </row>
    <row r="57" spans="2:9" ht="15" customHeight="1" x14ac:dyDescent="0.2">
      <c r="B57" t="s">
        <v>147</v>
      </c>
      <c r="C57" s="12">
        <v>31</v>
      </c>
      <c r="D57" s="8">
        <v>2.36</v>
      </c>
      <c r="E57" s="12">
        <v>24</v>
      </c>
      <c r="F57" s="8">
        <v>3.23</v>
      </c>
      <c r="G57" s="12">
        <v>7</v>
      </c>
      <c r="H57" s="8">
        <v>1.24</v>
      </c>
      <c r="I57" s="12">
        <v>0</v>
      </c>
    </row>
    <row r="58" spans="2:9" ht="15" customHeight="1" x14ac:dyDescent="0.2">
      <c r="B58" t="s">
        <v>149</v>
      </c>
      <c r="C58" s="12">
        <v>30</v>
      </c>
      <c r="D58" s="8">
        <v>2.2799999999999998</v>
      </c>
      <c r="E58" s="12">
        <v>28</v>
      </c>
      <c r="F58" s="8">
        <v>3.77</v>
      </c>
      <c r="G58" s="12">
        <v>2</v>
      </c>
      <c r="H58" s="8">
        <v>0.36</v>
      </c>
      <c r="I58" s="12">
        <v>0</v>
      </c>
    </row>
    <row r="59" spans="2:9" ht="15" customHeight="1" x14ac:dyDescent="0.2">
      <c r="B59" t="s">
        <v>168</v>
      </c>
      <c r="C59" s="12">
        <v>27</v>
      </c>
      <c r="D59" s="8">
        <v>2.0499999999999998</v>
      </c>
      <c r="E59" s="12">
        <v>11</v>
      </c>
      <c r="F59" s="8">
        <v>1.48</v>
      </c>
      <c r="G59" s="12">
        <v>16</v>
      </c>
      <c r="H59" s="8">
        <v>2.84</v>
      </c>
      <c r="I59" s="12">
        <v>0</v>
      </c>
    </row>
    <row r="60" spans="2:9" ht="15" customHeight="1" x14ac:dyDescent="0.2">
      <c r="B60" t="s">
        <v>142</v>
      </c>
      <c r="C60" s="12">
        <v>25</v>
      </c>
      <c r="D60" s="8">
        <v>1.9</v>
      </c>
      <c r="E60" s="12">
        <v>7</v>
      </c>
      <c r="F60" s="8">
        <v>0.94</v>
      </c>
      <c r="G60" s="12">
        <v>18</v>
      </c>
      <c r="H60" s="8">
        <v>3.2</v>
      </c>
      <c r="I60" s="12">
        <v>0</v>
      </c>
    </row>
    <row r="61" spans="2:9" ht="15" customHeight="1" x14ac:dyDescent="0.2">
      <c r="B61" t="s">
        <v>143</v>
      </c>
      <c r="C61" s="12">
        <v>24</v>
      </c>
      <c r="D61" s="8">
        <v>1.82</v>
      </c>
      <c r="E61" s="12">
        <v>20</v>
      </c>
      <c r="F61" s="8">
        <v>2.7</v>
      </c>
      <c r="G61" s="12">
        <v>4</v>
      </c>
      <c r="H61" s="8">
        <v>0.71</v>
      </c>
      <c r="I61" s="12">
        <v>0</v>
      </c>
    </row>
    <row r="62" spans="2:9" ht="15" customHeight="1" x14ac:dyDescent="0.2">
      <c r="B62" t="s">
        <v>139</v>
      </c>
      <c r="C62" s="12">
        <v>22</v>
      </c>
      <c r="D62" s="8">
        <v>1.67</v>
      </c>
      <c r="E62" s="12">
        <v>16</v>
      </c>
      <c r="F62" s="8">
        <v>2.16</v>
      </c>
      <c r="G62" s="12">
        <v>6</v>
      </c>
      <c r="H62" s="8">
        <v>1.07</v>
      </c>
      <c r="I62" s="12">
        <v>0</v>
      </c>
    </row>
    <row r="63" spans="2:9" ht="15" customHeight="1" x14ac:dyDescent="0.2">
      <c r="B63" t="s">
        <v>138</v>
      </c>
      <c r="C63" s="12">
        <v>21</v>
      </c>
      <c r="D63" s="8">
        <v>1.6</v>
      </c>
      <c r="E63" s="12">
        <v>4</v>
      </c>
      <c r="F63" s="8">
        <v>0.54</v>
      </c>
      <c r="G63" s="12">
        <v>17</v>
      </c>
      <c r="H63" s="8">
        <v>3.02</v>
      </c>
      <c r="I63" s="12">
        <v>0</v>
      </c>
    </row>
    <row r="64" spans="2:9" ht="15" customHeight="1" x14ac:dyDescent="0.2">
      <c r="B64" t="s">
        <v>167</v>
      </c>
      <c r="C64" s="12">
        <v>21</v>
      </c>
      <c r="D64" s="8">
        <v>1.6</v>
      </c>
      <c r="E64" s="12">
        <v>10</v>
      </c>
      <c r="F64" s="8">
        <v>1.35</v>
      </c>
      <c r="G64" s="12">
        <v>11</v>
      </c>
      <c r="H64" s="8">
        <v>1.95</v>
      </c>
      <c r="I64" s="12">
        <v>0</v>
      </c>
    </row>
    <row r="65" spans="2:9" ht="15" customHeight="1" x14ac:dyDescent="0.2">
      <c r="B65" t="s">
        <v>146</v>
      </c>
      <c r="C65" s="12">
        <v>19</v>
      </c>
      <c r="D65" s="8">
        <v>1.44</v>
      </c>
      <c r="E65" s="12">
        <v>3</v>
      </c>
      <c r="F65" s="8">
        <v>0.4</v>
      </c>
      <c r="G65" s="12">
        <v>15</v>
      </c>
      <c r="H65" s="8">
        <v>2.66</v>
      </c>
      <c r="I65" s="12">
        <v>0</v>
      </c>
    </row>
    <row r="66" spans="2:9" ht="15" customHeight="1" x14ac:dyDescent="0.2">
      <c r="B66" t="s">
        <v>153</v>
      </c>
      <c r="C66" s="12">
        <v>19</v>
      </c>
      <c r="D66" s="8">
        <v>1.44</v>
      </c>
      <c r="E66" s="12">
        <v>18</v>
      </c>
      <c r="F66" s="8">
        <v>2.4300000000000002</v>
      </c>
      <c r="G66" s="12">
        <v>1</v>
      </c>
      <c r="H66" s="8">
        <v>0.18</v>
      </c>
      <c r="I66" s="12">
        <v>0</v>
      </c>
    </row>
    <row r="67" spans="2:9" ht="15" customHeight="1" x14ac:dyDescent="0.2">
      <c r="B67" t="s">
        <v>136</v>
      </c>
      <c r="C67" s="12">
        <v>16</v>
      </c>
      <c r="D67" s="8">
        <v>1.22</v>
      </c>
      <c r="E67" s="12">
        <v>4</v>
      </c>
      <c r="F67" s="8">
        <v>0.54</v>
      </c>
      <c r="G67" s="12">
        <v>12</v>
      </c>
      <c r="H67" s="8">
        <v>2.13</v>
      </c>
      <c r="I67" s="12">
        <v>0</v>
      </c>
    </row>
    <row r="68" spans="2:9" ht="15" customHeight="1" x14ac:dyDescent="0.2">
      <c r="B68" t="s">
        <v>164</v>
      </c>
      <c r="C68" s="12">
        <v>16</v>
      </c>
      <c r="D68" s="8">
        <v>1.22</v>
      </c>
      <c r="E68" s="12">
        <v>6</v>
      </c>
      <c r="F68" s="8">
        <v>0.81</v>
      </c>
      <c r="G68" s="12">
        <v>10</v>
      </c>
      <c r="H68" s="8">
        <v>1.78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BFFC-1B08-4C0F-BDBE-DC378CB77DC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167</v>
      </c>
      <c r="D6" s="8">
        <v>13.53</v>
      </c>
      <c r="E6" s="12">
        <v>59</v>
      </c>
      <c r="F6" s="8">
        <v>7.7</v>
      </c>
      <c r="G6" s="12">
        <v>108</v>
      </c>
      <c r="H6" s="8">
        <v>24.94</v>
      </c>
      <c r="I6" s="12">
        <v>0</v>
      </c>
    </row>
    <row r="7" spans="2:9" ht="15" customHeight="1" x14ac:dyDescent="0.2">
      <c r="B7" t="s">
        <v>53</v>
      </c>
      <c r="C7" s="12">
        <v>85</v>
      </c>
      <c r="D7" s="8">
        <v>6.89</v>
      </c>
      <c r="E7" s="12">
        <v>38</v>
      </c>
      <c r="F7" s="8">
        <v>4.96</v>
      </c>
      <c r="G7" s="12">
        <v>47</v>
      </c>
      <c r="H7" s="8">
        <v>10.85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0.24</v>
      </c>
      <c r="E9" s="12">
        <v>1</v>
      </c>
      <c r="F9" s="8">
        <v>0.13</v>
      </c>
      <c r="G9" s="12">
        <v>2</v>
      </c>
      <c r="H9" s="8">
        <v>0.46</v>
      </c>
      <c r="I9" s="12">
        <v>0</v>
      </c>
    </row>
    <row r="10" spans="2:9" ht="15" customHeight="1" x14ac:dyDescent="0.2">
      <c r="B10" t="s">
        <v>56</v>
      </c>
      <c r="C10" s="12">
        <v>14</v>
      </c>
      <c r="D10" s="8">
        <v>1.1299999999999999</v>
      </c>
      <c r="E10" s="12">
        <v>4</v>
      </c>
      <c r="F10" s="8">
        <v>0.52</v>
      </c>
      <c r="G10" s="12">
        <v>9</v>
      </c>
      <c r="H10" s="8">
        <v>2.08</v>
      </c>
      <c r="I10" s="12">
        <v>1</v>
      </c>
    </row>
    <row r="11" spans="2:9" ht="15" customHeight="1" x14ac:dyDescent="0.2">
      <c r="B11" t="s">
        <v>57</v>
      </c>
      <c r="C11" s="12">
        <v>339</v>
      </c>
      <c r="D11" s="8">
        <v>27.47</v>
      </c>
      <c r="E11" s="12">
        <v>200</v>
      </c>
      <c r="F11" s="8">
        <v>26.11</v>
      </c>
      <c r="G11" s="12">
        <v>139</v>
      </c>
      <c r="H11" s="8">
        <v>32.1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41</v>
      </c>
      <c r="D13" s="8">
        <v>3.32</v>
      </c>
      <c r="E13" s="12">
        <v>20</v>
      </c>
      <c r="F13" s="8">
        <v>2.61</v>
      </c>
      <c r="G13" s="12">
        <v>20</v>
      </c>
      <c r="H13" s="8">
        <v>4.62</v>
      </c>
      <c r="I13" s="12">
        <v>0</v>
      </c>
    </row>
    <row r="14" spans="2:9" ht="15" customHeight="1" x14ac:dyDescent="0.2">
      <c r="B14" t="s">
        <v>60</v>
      </c>
      <c r="C14" s="12">
        <v>46</v>
      </c>
      <c r="D14" s="8">
        <v>3.73</v>
      </c>
      <c r="E14" s="12">
        <v>24</v>
      </c>
      <c r="F14" s="8">
        <v>3.13</v>
      </c>
      <c r="G14" s="12">
        <v>19</v>
      </c>
      <c r="H14" s="8">
        <v>4.3899999999999997</v>
      </c>
      <c r="I14" s="12">
        <v>0</v>
      </c>
    </row>
    <row r="15" spans="2:9" ht="15" customHeight="1" x14ac:dyDescent="0.2">
      <c r="B15" t="s">
        <v>61</v>
      </c>
      <c r="C15" s="12">
        <v>201</v>
      </c>
      <c r="D15" s="8">
        <v>16.29</v>
      </c>
      <c r="E15" s="12">
        <v>176</v>
      </c>
      <c r="F15" s="8">
        <v>22.98</v>
      </c>
      <c r="G15" s="12">
        <v>23</v>
      </c>
      <c r="H15" s="8">
        <v>5.31</v>
      </c>
      <c r="I15" s="12">
        <v>0</v>
      </c>
    </row>
    <row r="16" spans="2:9" ht="15" customHeight="1" x14ac:dyDescent="0.2">
      <c r="B16" t="s">
        <v>62</v>
      </c>
      <c r="C16" s="12">
        <v>182</v>
      </c>
      <c r="D16" s="8">
        <v>14.75</v>
      </c>
      <c r="E16" s="12">
        <v>155</v>
      </c>
      <c r="F16" s="8">
        <v>20.23</v>
      </c>
      <c r="G16" s="12">
        <v>27</v>
      </c>
      <c r="H16" s="8">
        <v>6.24</v>
      </c>
      <c r="I16" s="12">
        <v>0</v>
      </c>
    </row>
    <row r="17" spans="2:9" ht="15" customHeight="1" x14ac:dyDescent="0.2">
      <c r="B17" t="s">
        <v>63</v>
      </c>
      <c r="C17" s="12">
        <v>27</v>
      </c>
      <c r="D17" s="8">
        <v>2.19</v>
      </c>
      <c r="E17" s="12">
        <v>10</v>
      </c>
      <c r="F17" s="8">
        <v>1.31</v>
      </c>
      <c r="G17" s="12">
        <v>4</v>
      </c>
      <c r="H17" s="8">
        <v>0.92</v>
      </c>
      <c r="I17" s="12">
        <v>0</v>
      </c>
    </row>
    <row r="18" spans="2:9" ht="15" customHeight="1" x14ac:dyDescent="0.2">
      <c r="B18" t="s">
        <v>64</v>
      </c>
      <c r="C18" s="12">
        <v>67</v>
      </c>
      <c r="D18" s="8">
        <v>5.43</v>
      </c>
      <c r="E18" s="12">
        <v>37</v>
      </c>
      <c r="F18" s="8">
        <v>4.83</v>
      </c>
      <c r="G18" s="12">
        <v>18</v>
      </c>
      <c r="H18" s="8">
        <v>4.16</v>
      </c>
      <c r="I18" s="12">
        <v>0</v>
      </c>
    </row>
    <row r="19" spans="2:9" ht="15" customHeight="1" x14ac:dyDescent="0.2">
      <c r="B19" t="s">
        <v>65</v>
      </c>
      <c r="C19" s="12">
        <v>62</v>
      </c>
      <c r="D19" s="8">
        <v>5.0199999999999996</v>
      </c>
      <c r="E19" s="12">
        <v>42</v>
      </c>
      <c r="F19" s="8">
        <v>5.48</v>
      </c>
      <c r="G19" s="12">
        <v>17</v>
      </c>
      <c r="H19" s="8">
        <v>3.93</v>
      </c>
      <c r="I19" s="12">
        <v>1</v>
      </c>
    </row>
    <row r="20" spans="2:9" ht="15" customHeight="1" x14ac:dyDescent="0.2">
      <c r="B20" s="9" t="s">
        <v>281</v>
      </c>
      <c r="C20" s="12">
        <f>SUM(LTBL_43208[総数／事業所数])</f>
        <v>1234</v>
      </c>
      <c r="E20" s="12">
        <f>SUBTOTAL(109,LTBL_43208[個人／事業所数])</f>
        <v>766</v>
      </c>
      <c r="G20" s="12">
        <f>SUBTOTAL(109,LTBL_43208[法人／事業所数])</f>
        <v>433</v>
      </c>
      <c r="I20" s="12">
        <f>SUBTOTAL(109,LTBL_43208[法人以外の団体／事業所数])</f>
        <v>2</v>
      </c>
    </row>
    <row r="21" spans="2:9" ht="15" customHeight="1" x14ac:dyDescent="0.2">
      <c r="E21" s="11">
        <f>LTBL_43208[[#Totals],[個人／事業所数]]/LTBL_43208[[#Totals],[総数／事業所数]]</f>
        <v>0.62074554294975692</v>
      </c>
      <c r="G21" s="11">
        <f>LTBL_43208[[#Totals],[法人／事業所数]]/LTBL_43208[[#Totals],[総数／事業所数]]</f>
        <v>0.35089141004862234</v>
      </c>
      <c r="I21" s="11">
        <f>LTBL_43208[[#Totals],[法人以外の団体／事業所数]]/LTBL_43208[[#Totals],[総数／事業所数]]</f>
        <v>1.6207455429497568E-3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185</v>
      </c>
      <c r="D24" s="8">
        <v>14.99</v>
      </c>
      <c r="E24" s="12">
        <v>168</v>
      </c>
      <c r="F24" s="8">
        <v>21.93</v>
      </c>
      <c r="G24" s="12">
        <v>17</v>
      </c>
      <c r="H24" s="8">
        <v>3.93</v>
      </c>
      <c r="I24" s="12">
        <v>0</v>
      </c>
    </row>
    <row r="25" spans="2:9" ht="15" customHeight="1" x14ac:dyDescent="0.2">
      <c r="B25" t="s">
        <v>89</v>
      </c>
      <c r="C25" s="12">
        <v>160</v>
      </c>
      <c r="D25" s="8">
        <v>12.97</v>
      </c>
      <c r="E25" s="12">
        <v>144</v>
      </c>
      <c r="F25" s="8">
        <v>18.8</v>
      </c>
      <c r="G25" s="12">
        <v>16</v>
      </c>
      <c r="H25" s="8">
        <v>3.7</v>
      </c>
      <c r="I25" s="12">
        <v>0</v>
      </c>
    </row>
    <row r="26" spans="2:9" ht="15" customHeight="1" x14ac:dyDescent="0.2">
      <c r="B26" t="s">
        <v>83</v>
      </c>
      <c r="C26" s="12">
        <v>103</v>
      </c>
      <c r="D26" s="8">
        <v>8.35</v>
      </c>
      <c r="E26" s="12">
        <v>61</v>
      </c>
      <c r="F26" s="8">
        <v>7.96</v>
      </c>
      <c r="G26" s="12">
        <v>42</v>
      </c>
      <c r="H26" s="8">
        <v>9.6999999999999993</v>
      </c>
      <c r="I26" s="12">
        <v>0</v>
      </c>
    </row>
    <row r="27" spans="2:9" ht="15" customHeight="1" x14ac:dyDescent="0.2">
      <c r="B27" t="s">
        <v>74</v>
      </c>
      <c r="C27" s="12">
        <v>95</v>
      </c>
      <c r="D27" s="8">
        <v>7.7</v>
      </c>
      <c r="E27" s="12">
        <v>21</v>
      </c>
      <c r="F27" s="8">
        <v>2.74</v>
      </c>
      <c r="G27" s="12">
        <v>74</v>
      </c>
      <c r="H27" s="8">
        <v>17.09</v>
      </c>
      <c r="I27" s="12">
        <v>0</v>
      </c>
    </row>
    <row r="28" spans="2:9" ht="15" customHeight="1" x14ac:dyDescent="0.2">
      <c r="B28" t="s">
        <v>81</v>
      </c>
      <c r="C28" s="12">
        <v>78</v>
      </c>
      <c r="D28" s="8">
        <v>6.32</v>
      </c>
      <c r="E28" s="12">
        <v>57</v>
      </c>
      <c r="F28" s="8">
        <v>7.44</v>
      </c>
      <c r="G28" s="12">
        <v>21</v>
      </c>
      <c r="H28" s="8">
        <v>4.8499999999999996</v>
      </c>
      <c r="I28" s="12">
        <v>0</v>
      </c>
    </row>
    <row r="29" spans="2:9" ht="15" customHeight="1" x14ac:dyDescent="0.2">
      <c r="B29" t="s">
        <v>82</v>
      </c>
      <c r="C29" s="12">
        <v>57</v>
      </c>
      <c r="D29" s="8">
        <v>4.62</v>
      </c>
      <c r="E29" s="12">
        <v>42</v>
      </c>
      <c r="F29" s="8">
        <v>5.48</v>
      </c>
      <c r="G29" s="12">
        <v>15</v>
      </c>
      <c r="H29" s="8">
        <v>3.46</v>
      </c>
      <c r="I29" s="12">
        <v>0</v>
      </c>
    </row>
    <row r="30" spans="2:9" ht="15" customHeight="1" x14ac:dyDescent="0.2">
      <c r="B30" t="s">
        <v>80</v>
      </c>
      <c r="C30" s="12">
        <v>43</v>
      </c>
      <c r="D30" s="8">
        <v>3.48</v>
      </c>
      <c r="E30" s="12">
        <v>26</v>
      </c>
      <c r="F30" s="8">
        <v>3.39</v>
      </c>
      <c r="G30" s="12">
        <v>17</v>
      </c>
      <c r="H30" s="8">
        <v>3.93</v>
      </c>
      <c r="I30" s="12">
        <v>0</v>
      </c>
    </row>
    <row r="31" spans="2:9" ht="15" customHeight="1" x14ac:dyDescent="0.2">
      <c r="B31" t="s">
        <v>93</v>
      </c>
      <c r="C31" s="12">
        <v>41</v>
      </c>
      <c r="D31" s="8">
        <v>3.32</v>
      </c>
      <c r="E31" s="12">
        <v>36</v>
      </c>
      <c r="F31" s="8">
        <v>4.7</v>
      </c>
      <c r="G31" s="12">
        <v>5</v>
      </c>
      <c r="H31" s="8">
        <v>1.1499999999999999</v>
      </c>
      <c r="I31" s="12">
        <v>0</v>
      </c>
    </row>
    <row r="32" spans="2:9" ht="15" customHeight="1" x14ac:dyDescent="0.2">
      <c r="B32" t="s">
        <v>75</v>
      </c>
      <c r="C32" s="12">
        <v>39</v>
      </c>
      <c r="D32" s="8">
        <v>3.16</v>
      </c>
      <c r="E32" s="12">
        <v>27</v>
      </c>
      <c r="F32" s="8">
        <v>3.52</v>
      </c>
      <c r="G32" s="12">
        <v>12</v>
      </c>
      <c r="H32" s="8">
        <v>2.77</v>
      </c>
      <c r="I32" s="12">
        <v>0</v>
      </c>
    </row>
    <row r="33" spans="2:9" ht="15" customHeight="1" x14ac:dyDescent="0.2">
      <c r="B33" t="s">
        <v>91</v>
      </c>
      <c r="C33" s="12">
        <v>39</v>
      </c>
      <c r="D33" s="8">
        <v>3.16</v>
      </c>
      <c r="E33" s="12">
        <v>37</v>
      </c>
      <c r="F33" s="8">
        <v>4.83</v>
      </c>
      <c r="G33" s="12">
        <v>2</v>
      </c>
      <c r="H33" s="8">
        <v>0.46</v>
      </c>
      <c r="I33" s="12">
        <v>0</v>
      </c>
    </row>
    <row r="34" spans="2:9" ht="15" customHeight="1" x14ac:dyDescent="0.2">
      <c r="B34" t="s">
        <v>76</v>
      </c>
      <c r="C34" s="12">
        <v>33</v>
      </c>
      <c r="D34" s="8">
        <v>2.67</v>
      </c>
      <c r="E34" s="12">
        <v>11</v>
      </c>
      <c r="F34" s="8">
        <v>1.44</v>
      </c>
      <c r="G34" s="12">
        <v>22</v>
      </c>
      <c r="H34" s="8">
        <v>5.08</v>
      </c>
      <c r="I34" s="12">
        <v>0</v>
      </c>
    </row>
    <row r="35" spans="2:9" ht="15" customHeight="1" x14ac:dyDescent="0.2">
      <c r="B35" t="s">
        <v>85</v>
      </c>
      <c r="C35" s="12">
        <v>28</v>
      </c>
      <c r="D35" s="8">
        <v>2.27</v>
      </c>
      <c r="E35" s="12">
        <v>13</v>
      </c>
      <c r="F35" s="8">
        <v>1.7</v>
      </c>
      <c r="G35" s="12">
        <v>14</v>
      </c>
      <c r="H35" s="8">
        <v>3.23</v>
      </c>
      <c r="I35" s="12">
        <v>0</v>
      </c>
    </row>
    <row r="36" spans="2:9" ht="15" customHeight="1" x14ac:dyDescent="0.2">
      <c r="B36" t="s">
        <v>86</v>
      </c>
      <c r="C36" s="12">
        <v>28</v>
      </c>
      <c r="D36" s="8">
        <v>2.27</v>
      </c>
      <c r="E36" s="12">
        <v>18</v>
      </c>
      <c r="F36" s="8">
        <v>2.35</v>
      </c>
      <c r="G36" s="12">
        <v>10</v>
      </c>
      <c r="H36" s="8">
        <v>2.31</v>
      </c>
      <c r="I36" s="12">
        <v>0</v>
      </c>
    </row>
    <row r="37" spans="2:9" ht="15" customHeight="1" x14ac:dyDescent="0.2">
      <c r="B37" t="s">
        <v>92</v>
      </c>
      <c r="C37" s="12">
        <v>28</v>
      </c>
      <c r="D37" s="8">
        <v>2.27</v>
      </c>
      <c r="E37" s="12">
        <v>0</v>
      </c>
      <c r="F37" s="8">
        <v>0</v>
      </c>
      <c r="G37" s="12">
        <v>16</v>
      </c>
      <c r="H37" s="8">
        <v>3.7</v>
      </c>
      <c r="I37" s="12">
        <v>0</v>
      </c>
    </row>
    <row r="38" spans="2:9" ht="15" customHeight="1" x14ac:dyDescent="0.2">
      <c r="B38" t="s">
        <v>90</v>
      </c>
      <c r="C38" s="12">
        <v>27</v>
      </c>
      <c r="D38" s="8">
        <v>2.19</v>
      </c>
      <c r="E38" s="12">
        <v>10</v>
      </c>
      <c r="F38" s="8">
        <v>1.31</v>
      </c>
      <c r="G38" s="12">
        <v>4</v>
      </c>
      <c r="H38" s="8">
        <v>0.92</v>
      </c>
      <c r="I38" s="12">
        <v>0</v>
      </c>
    </row>
    <row r="39" spans="2:9" ht="15" customHeight="1" x14ac:dyDescent="0.2">
      <c r="B39" t="s">
        <v>77</v>
      </c>
      <c r="C39" s="12">
        <v>24</v>
      </c>
      <c r="D39" s="8">
        <v>1.94</v>
      </c>
      <c r="E39" s="12">
        <v>13</v>
      </c>
      <c r="F39" s="8">
        <v>1.7</v>
      </c>
      <c r="G39" s="12">
        <v>11</v>
      </c>
      <c r="H39" s="8">
        <v>2.54</v>
      </c>
      <c r="I39" s="12">
        <v>0</v>
      </c>
    </row>
    <row r="40" spans="2:9" ht="15" customHeight="1" x14ac:dyDescent="0.2">
      <c r="B40" t="s">
        <v>99</v>
      </c>
      <c r="C40" s="12">
        <v>18</v>
      </c>
      <c r="D40" s="8">
        <v>1.46</v>
      </c>
      <c r="E40" s="12">
        <v>5</v>
      </c>
      <c r="F40" s="8">
        <v>0.65</v>
      </c>
      <c r="G40" s="12">
        <v>13</v>
      </c>
      <c r="H40" s="8">
        <v>3</v>
      </c>
      <c r="I40" s="12">
        <v>0</v>
      </c>
    </row>
    <row r="41" spans="2:9" ht="15" customHeight="1" x14ac:dyDescent="0.2">
      <c r="B41" t="s">
        <v>87</v>
      </c>
      <c r="C41" s="12">
        <v>17</v>
      </c>
      <c r="D41" s="8">
        <v>1.38</v>
      </c>
      <c r="E41" s="12">
        <v>6</v>
      </c>
      <c r="F41" s="8">
        <v>0.78</v>
      </c>
      <c r="G41" s="12">
        <v>9</v>
      </c>
      <c r="H41" s="8">
        <v>2.08</v>
      </c>
      <c r="I41" s="12">
        <v>0</v>
      </c>
    </row>
    <row r="42" spans="2:9" ht="15" customHeight="1" x14ac:dyDescent="0.2">
      <c r="B42" t="s">
        <v>102</v>
      </c>
      <c r="C42" s="12">
        <v>16</v>
      </c>
      <c r="D42" s="8">
        <v>1.3</v>
      </c>
      <c r="E42" s="12">
        <v>5</v>
      </c>
      <c r="F42" s="8">
        <v>0.65</v>
      </c>
      <c r="G42" s="12">
        <v>11</v>
      </c>
      <c r="H42" s="8">
        <v>2.54</v>
      </c>
      <c r="I42" s="12">
        <v>0</v>
      </c>
    </row>
    <row r="43" spans="2:9" ht="15" customHeight="1" x14ac:dyDescent="0.2">
      <c r="B43" t="s">
        <v>94</v>
      </c>
      <c r="C43" s="12">
        <v>15</v>
      </c>
      <c r="D43" s="8">
        <v>1.22</v>
      </c>
      <c r="E43" s="12">
        <v>3</v>
      </c>
      <c r="F43" s="8">
        <v>0.39</v>
      </c>
      <c r="G43" s="12">
        <v>12</v>
      </c>
      <c r="H43" s="8">
        <v>2.77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84</v>
      </c>
      <c r="D47" s="8">
        <v>6.81</v>
      </c>
      <c r="E47" s="12">
        <v>79</v>
      </c>
      <c r="F47" s="8">
        <v>10.31</v>
      </c>
      <c r="G47" s="12">
        <v>5</v>
      </c>
      <c r="H47" s="8">
        <v>1.1499999999999999</v>
      </c>
      <c r="I47" s="12">
        <v>0</v>
      </c>
    </row>
    <row r="48" spans="2:9" ht="15" customHeight="1" x14ac:dyDescent="0.2">
      <c r="B48" t="s">
        <v>149</v>
      </c>
      <c r="C48" s="12">
        <v>67</v>
      </c>
      <c r="D48" s="8">
        <v>5.43</v>
      </c>
      <c r="E48" s="12">
        <v>66</v>
      </c>
      <c r="F48" s="8">
        <v>8.6199999999999992</v>
      </c>
      <c r="G48" s="12">
        <v>1</v>
      </c>
      <c r="H48" s="8">
        <v>0.23</v>
      </c>
      <c r="I48" s="12">
        <v>0</v>
      </c>
    </row>
    <row r="49" spans="2:9" ht="15" customHeight="1" x14ac:dyDescent="0.2">
      <c r="B49" t="s">
        <v>150</v>
      </c>
      <c r="C49" s="12">
        <v>50</v>
      </c>
      <c r="D49" s="8">
        <v>4.05</v>
      </c>
      <c r="E49" s="12">
        <v>48</v>
      </c>
      <c r="F49" s="8">
        <v>6.27</v>
      </c>
      <c r="G49" s="12">
        <v>2</v>
      </c>
      <c r="H49" s="8">
        <v>0.46</v>
      </c>
      <c r="I49" s="12">
        <v>0</v>
      </c>
    </row>
    <row r="50" spans="2:9" ht="15" customHeight="1" x14ac:dyDescent="0.2">
      <c r="B50" t="s">
        <v>135</v>
      </c>
      <c r="C50" s="12">
        <v>49</v>
      </c>
      <c r="D50" s="8">
        <v>3.97</v>
      </c>
      <c r="E50" s="12">
        <v>7</v>
      </c>
      <c r="F50" s="8">
        <v>0.91</v>
      </c>
      <c r="G50" s="12">
        <v>42</v>
      </c>
      <c r="H50" s="8">
        <v>9.6999999999999993</v>
      </c>
      <c r="I50" s="12">
        <v>0</v>
      </c>
    </row>
    <row r="51" spans="2:9" ht="15" customHeight="1" x14ac:dyDescent="0.2">
      <c r="B51" t="s">
        <v>154</v>
      </c>
      <c r="C51" s="12">
        <v>41</v>
      </c>
      <c r="D51" s="8">
        <v>3.32</v>
      </c>
      <c r="E51" s="12">
        <v>36</v>
      </c>
      <c r="F51" s="8">
        <v>4.7</v>
      </c>
      <c r="G51" s="12">
        <v>5</v>
      </c>
      <c r="H51" s="8">
        <v>1.1499999999999999</v>
      </c>
      <c r="I51" s="12">
        <v>0</v>
      </c>
    </row>
    <row r="52" spans="2:9" ht="15" customHeight="1" x14ac:dyDescent="0.2">
      <c r="B52" t="s">
        <v>141</v>
      </c>
      <c r="C52" s="12">
        <v>38</v>
      </c>
      <c r="D52" s="8">
        <v>3.08</v>
      </c>
      <c r="E52" s="12">
        <v>26</v>
      </c>
      <c r="F52" s="8">
        <v>3.39</v>
      </c>
      <c r="G52" s="12">
        <v>12</v>
      </c>
      <c r="H52" s="8">
        <v>2.77</v>
      </c>
      <c r="I52" s="12">
        <v>0</v>
      </c>
    </row>
    <row r="53" spans="2:9" ht="15" customHeight="1" x14ac:dyDescent="0.2">
      <c r="B53" t="s">
        <v>153</v>
      </c>
      <c r="C53" s="12">
        <v>35</v>
      </c>
      <c r="D53" s="8">
        <v>2.84</v>
      </c>
      <c r="E53" s="12">
        <v>34</v>
      </c>
      <c r="F53" s="8">
        <v>4.4400000000000004</v>
      </c>
      <c r="G53" s="12">
        <v>1</v>
      </c>
      <c r="H53" s="8">
        <v>0.23</v>
      </c>
      <c r="I53" s="12">
        <v>0</v>
      </c>
    </row>
    <row r="54" spans="2:9" ht="15" customHeight="1" x14ac:dyDescent="0.2">
      <c r="B54" t="s">
        <v>147</v>
      </c>
      <c r="C54" s="12">
        <v>34</v>
      </c>
      <c r="D54" s="8">
        <v>2.76</v>
      </c>
      <c r="E54" s="12">
        <v>30</v>
      </c>
      <c r="F54" s="8">
        <v>3.92</v>
      </c>
      <c r="G54" s="12">
        <v>4</v>
      </c>
      <c r="H54" s="8">
        <v>0.92</v>
      </c>
      <c r="I54" s="12">
        <v>0</v>
      </c>
    </row>
    <row r="55" spans="2:9" ht="15" customHeight="1" x14ac:dyDescent="0.2">
      <c r="B55" t="s">
        <v>148</v>
      </c>
      <c r="C55" s="12">
        <v>34</v>
      </c>
      <c r="D55" s="8">
        <v>2.76</v>
      </c>
      <c r="E55" s="12">
        <v>33</v>
      </c>
      <c r="F55" s="8">
        <v>4.3099999999999996</v>
      </c>
      <c r="G55" s="12">
        <v>1</v>
      </c>
      <c r="H55" s="8">
        <v>0.23</v>
      </c>
      <c r="I55" s="12">
        <v>0</v>
      </c>
    </row>
    <row r="56" spans="2:9" ht="15" customHeight="1" x14ac:dyDescent="0.2">
      <c r="B56" t="s">
        <v>166</v>
      </c>
      <c r="C56" s="12">
        <v>30</v>
      </c>
      <c r="D56" s="8">
        <v>2.4300000000000002</v>
      </c>
      <c r="E56" s="12">
        <v>22</v>
      </c>
      <c r="F56" s="8">
        <v>2.87</v>
      </c>
      <c r="G56" s="12">
        <v>8</v>
      </c>
      <c r="H56" s="8">
        <v>1.85</v>
      </c>
      <c r="I56" s="12">
        <v>0</v>
      </c>
    </row>
    <row r="57" spans="2:9" ht="15" customHeight="1" x14ac:dyDescent="0.2">
      <c r="B57" t="s">
        <v>143</v>
      </c>
      <c r="C57" s="12">
        <v>26</v>
      </c>
      <c r="D57" s="8">
        <v>2.11</v>
      </c>
      <c r="E57" s="12">
        <v>21</v>
      </c>
      <c r="F57" s="8">
        <v>2.74</v>
      </c>
      <c r="G57" s="12">
        <v>5</v>
      </c>
      <c r="H57" s="8">
        <v>1.1499999999999999</v>
      </c>
      <c r="I57" s="12">
        <v>0</v>
      </c>
    </row>
    <row r="58" spans="2:9" ht="15" customHeight="1" x14ac:dyDescent="0.2">
      <c r="B58" t="s">
        <v>140</v>
      </c>
      <c r="C58" s="12">
        <v>24</v>
      </c>
      <c r="D58" s="8">
        <v>1.94</v>
      </c>
      <c r="E58" s="12">
        <v>16</v>
      </c>
      <c r="F58" s="8">
        <v>2.09</v>
      </c>
      <c r="G58" s="12">
        <v>8</v>
      </c>
      <c r="H58" s="8">
        <v>1.85</v>
      </c>
      <c r="I58" s="12">
        <v>0</v>
      </c>
    </row>
    <row r="59" spans="2:9" ht="15" customHeight="1" x14ac:dyDescent="0.2">
      <c r="B59" t="s">
        <v>139</v>
      </c>
      <c r="C59" s="12">
        <v>20</v>
      </c>
      <c r="D59" s="8">
        <v>1.62</v>
      </c>
      <c r="E59" s="12">
        <v>12</v>
      </c>
      <c r="F59" s="8">
        <v>1.57</v>
      </c>
      <c r="G59" s="12">
        <v>8</v>
      </c>
      <c r="H59" s="8">
        <v>1.85</v>
      </c>
      <c r="I59" s="12">
        <v>0</v>
      </c>
    </row>
    <row r="60" spans="2:9" ht="15" customHeight="1" x14ac:dyDescent="0.2">
      <c r="B60" t="s">
        <v>142</v>
      </c>
      <c r="C60" s="12">
        <v>19</v>
      </c>
      <c r="D60" s="8">
        <v>1.54</v>
      </c>
      <c r="E60" s="12">
        <v>5</v>
      </c>
      <c r="F60" s="8">
        <v>0.65</v>
      </c>
      <c r="G60" s="12">
        <v>14</v>
      </c>
      <c r="H60" s="8">
        <v>3.23</v>
      </c>
      <c r="I60" s="12">
        <v>0</v>
      </c>
    </row>
    <row r="61" spans="2:9" ht="15" customHeight="1" x14ac:dyDescent="0.2">
      <c r="B61" t="s">
        <v>136</v>
      </c>
      <c r="C61" s="12">
        <v>17</v>
      </c>
      <c r="D61" s="8">
        <v>1.38</v>
      </c>
      <c r="E61" s="12">
        <v>2</v>
      </c>
      <c r="F61" s="8">
        <v>0.26</v>
      </c>
      <c r="G61" s="12">
        <v>15</v>
      </c>
      <c r="H61" s="8">
        <v>3.46</v>
      </c>
      <c r="I61" s="12">
        <v>0</v>
      </c>
    </row>
    <row r="62" spans="2:9" ht="15" customHeight="1" x14ac:dyDescent="0.2">
      <c r="B62" t="s">
        <v>137</v>
      </c>
      <c r="C62" s="12">
        <v>17</v>
      </c>
      <c r="D62" s="8">
        <v>1.38</v>
      </c>
      <c r="E62" s="12">
        <v>6</v>
      </c>
      <c r="F62" s="8">
        <v>0.78</v>
      </c>
      <c r="G62" s="12">
        <v>11</v>
      </c>
      <c r="H62" s="8">
        <v>2.54</v>
      </c>
      <c r="I62" s="12">
        <v>0</v>
      </c>
    </row>
    <row r="63" spans="2:9" ht="15" customHeight="1" x14ac:dyDescent="0.2">
      <c r="B63" t="s">
        <v>168</v>
      </c>
      <c r="C63" s="12">
        <v>17</v>
      </c>
      <c r="D63" s="8">
        <v>1.38</v>
      </c>
      <c r="E63" s="12">
        <v>6</v>
      </c>
      <c r="F63" s="8">
        <v>0.78</v>
      </c>
      <c r="G63" s="12">
        <v>11</v>
      </c>
      <c r="H63" s="8">
        <v>2.54</v>
      </c>
      <c r="I63" s="12">
        <v>0</v>
      </c>
    </row>
    <row r="64" spans="2:9" ht="15" customHeight="1" x14ac:dyDescent="0.2">
      <c r="B64" t="s">
        <v>170</v>
      </c>
      <c r="C64" s="12">
        <v>17</v>
      </c>
      <c r="D64" s="8">
        <v>1.38</v>
      </c>
      <c r="E64" s="12">
        <v>15</v>
      </c>
      <c r="F64" s="8">
        <v>1.96</v>
      </c>
      <c r="G64" s="12">
        <v>2</v>
      </c>
      <c r="H64" s="8">
        <v>0.46</v>
      </c>
      <c r="I64" s="12">
        <v>0</v>
      </c>
    </row>
    <row r="65" spans="2:9" ht="15" customHeight="1" x14ac:dyDescent="0.2">
      <c r="B65" t="s">
        <v>159</v>
      </c>
      <c r="C65" s="12">
        <v>17</v>
      </c>
      <c r="D65" s="8">
        <v>1.38</v>
      </c>
      <c r="E65" s="12">
        <v>14</v>
      </c>
      <c r="F65" s="8">
        <v>1.83</v>
      </c>
      <c r="G65" s="12">
        <v>3</v>
      </c>
      <c r="H65" s="8">
        <v>0.69</v>
      </c>
      <c r="I65" s="12">
        <v>0</v>
      </c>
    </row>
    <row r="66" spans="2:9" ht="15" customHeight="1" x14ac:dyDescent="0.2">
      <c r="B66" t="s">
        <v>138</v>
      </c>
      <c r="C66" s="12">
        <v>16</v>
      </c>
      <c r="D66" s="8">
        <v>1.3</v>
      </c>
      <c r="E66" s="12">
        <v>8</v>
      </c>
      <c r="F66" s="8">
        <v>1.04</v>
      </c>
      <c r="G66" s="12">
        <v>8</v>
      </c>
      <c r="H66" s="8">
        <v>1.85</v>
      </c>
      <c r="I66" s="12">
        <v>0</v>
      </c>
    </row>
    <row r="67" spans="2:9" ht="15" customHeight="1" x14ac:dyDescent="0.2">
      <c r="B67" t="s">
        <v>167</v>
      </c>
      <c r="C67" s="12">
        <v>16</v>
      </c>
      <c r="D67" s="8">
        <v>1.3</v>
      </c>
      <c r="E67" s="12">
        <v>13</v>
      </c>
      <c r="F67" s="8">
        <v>1.7</v>
      </c>
      <c r="G67" s="12">
        <v>3</v>
      </c>
      <c r="H67" s="8">
        <v>0.69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D1B1-9916-4823-800A-D49FF20D18E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187</v>
      </c>
      <c r="D6" s="8">
        <v>17.48</v>
      </c>
      <c r="E6" s="12">
        <v>65</v>
      </c>
      <c r="F6" s="8">
        <v>11.27</v>
      </c>
      <c r="G6" s="12">
        <v>122</v>
      </c>
      <c r="H6" s="8">
        <v>25.42</v>
      </c>
      <c r="I6" s="12">
        <v>0</v>
      </c>
    </row>
    <row r="7" spans="2:9" ht="15" customHeight="1" x14ac:dyDescent="0.2">
      <c r="B7" t="s">
        <v>53</v>
      </c>
      <c r="C7" s="12">
        <v>100</v>
      </c>
      <c r="D7" s="8">
        <v>9.35</v>
      </c>
      <c r="E7" s="12">
        <v>30</v>
      </c>
      <c r="F7" s="8">
        <v>5.2</v>
      </c>
      <c r="G7" s="12">
        <v>70</v>
      </c>
      <c r="H7" s="8">
        <v>14.58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0.37</v>
      </c>
      <c r="E9" s="12">
        <v>1</v>
      </c>
      <c r="F9" s="8">
        <v>0.17</v>
      </c>
      <c r="G9" s="12">
        <v>3</v>
      </c>
      <c r="H9" s="8">
        <v>0.63</v>
      </c>
      <c r="I9" s="12">
        <v>0</v>
      </c>
    </row>
    <row r="10" spans="2:9" ht="15" customHeight="1" x14ac:dyDescent="0.2">
      <c r="B10" t="s">
        <v>56</v>
      </c>
      <c r="C10" s="12">
        <v>11</v>
      </c>
      <c r="D10" s="8">
        <v>1.03</v>
      </c>
      <c r="E10" s="12">
        <v>1</v>
      </c>
      <c r="F10" s="8">
        <v>0.17</v>
      </c>
      <c r="G10" s="12">
        <v>10</v>
      </c>
      <c r="H10" s="8">
        <v>2.08</v>
      </c>
      <c r="I10" s="12">
        <v>0</v>
      </c>
    </row>
    <row r="11" spans="2:9" ht="15" customHeight="1" x14ac:dyDescent="0.2">
      <c r="B11" t="s">
        <v>57</v>
      </c>
      <c r="C11" s="12">
        <v>262</v>
      </c>
      <c r="D11" s="8">
        <v>24.49</v>
      </c>
      <c r="E11" s="12">
        <v>129</v>
      </c>
      <c r="F11" s="8">
        <v>22.36</v>
      </c>
      <c r="G11" s="12">
        <v>132</v>
      </c>
      <c r="H11" s="8">
        <v>27.5</v>
      </c>
      <c r="I11" s="12">
        <v>1</v>
      </c>
    </row>
    <row r="12" spans="2:9" ht="15" customHeight="1" x14ac:dyDescent="0.2">
      <c r="B12" t="s">
        <v>58</v>
      </c>
      <c r="C12" s="12">
        <v>7</v>
      </c>
      <c r="D12" s="8">
        <v>0.65</v>
      </c>
      <c r="E12" s="12">
        <v>2</v>
      </c>
      <c r="F12" s="8">
        <v>0.35</v>
      </c>
      <c r="G12" s="12">
        <v>5</v>
      </c>
      <c r="H12" s="8">
        <v>1.04</v>
      </c>
      <c r="I12" s="12">
        <v>0</v>
      </c>
    </row>
    <row r="13" spans="2:9" ht="15" customHeight="1" x14ac:dyDescent="0.2">
      <c r="B13" t="s">
        <v>59</v>
      </c>
      <c r="C13" s="12">
        <v>43</v>
      </c>
      <c r="D13" s="8">
        <v>4.0199999999999996</v>
      </c>
      <c r="E13" s="12">
        <v>17</v>
      </c>
      <c r="F13" s="8">
        <v>2.95</v>
      </c>
      <c r="G13" s="12">
        <v>25</v>
      </c>
      <c r="H13" s="8">
        <v>5.21</v>
      </c>
      <c r="I13" s="12">
        <v>0</v>
      </c>
    </row>
    <row r="14" spans="2:9" ht="15" customHeight="1" x14ac:dyDescent="0.2">
      <c r="B14" t="s">
        <v>60</v>
      </c>
      <c r="C14" s="12">
        <v>41</v>
      </c>
      <c r="D14" s="8">
        <v>3.83</v>
      </c>
      <c r="E14" s="12">
        <v>26</v>
      </c>
      <c r="F14" s="8">
        <v>4.51</v>
      </c>
      <c r="G14" s="12">
        <v>15</v>
      </c>
      <c r="H14" s="8">
        <v>3.13</v>
      </c>
      <c r="I14" s="12">
        <v>0</v>
      </c>
    </row>
    <row r="15" spans="2:9" ht="15" customHeight="1" x14ac:dyDescent="0.2">
      <c r="B15" t="s">
        <v>61</v>
      </c>
      <c r="C15" s="12">
        <v>145</v>
      </c>
      <c r="D15" s="8">
        <v>13.55</v>
      </c>
      <c r="E15" s="12">
        <v>121</v>
      </c>
      <c r="F15" s="8">
        <v>20.97</v>
      </c>
      <c r="G15" s="12">
        <v>24</v>
      </c>
      <c r="H15" s="8">
        <v>5</v>
      </c>
      <c r="I15" s="12">
        <v>0</v>
      </c>
    </row>
    <row r="16" spans="2:9" ht="15" customHeight="1" x14ac:dyDescent="0.2">
      <c r="B16" t="s">
        <v>62</v>
      </c>
      <c r="C16" s="12">
        <v>135</v>
      </c>
      <c r="D16" s="8">
        <v>12.62</v>
      </c>
      <c r="E16" s="12">
        <v>112</v>
      </c>
      <c r="F16" s="8">
        <v>19.41</v>
      </c>
      <c r="G16" s="12">
        <v>21</v>
      </c>
      <c r="H16" s="8">
        <v>4.38</v>
      </c>
      <c r="I16" s="12">
        <v>0</v>
      </c>
    </row>
    <row r="17" spans="2:9" ht="15" customHeight="1" x14ac:dyDescent="0.2">
      <c r="B17" t="s">
        <v>63</v>
      </c>
      <c r="C17" s="12">
        <v>32</v>
      </c>
      <c r="D17" s="8">
        <v>2.99</v>
      </c>
      <c r="E17" s="12">
        <v>22</v>
      </c>
      <c r="F17" s="8">
        <v>3.81</v>
      </c>
      <c r="G17" s="12">
        <v>5</v>
      </c>
      <c r="H17" s="8">
        <v>1.04</v>
      </c>
      <c r="I17" s="12">
        <v>1</v>
      </c>
    </row>
    <row r="18" spans="2:9" ht="15" customHeight="1" x14ac:dyDescent="0.2">
      <c r="B18" t="s">
        <v>64</v>
      </c>
      <c r="C18" s="12">
        <v>58</v>
      </c>
      <c r="D18" s="8">
        <v>5.42</v>
      </c>
      <c r="E18" s="12">
        <v>24</v>
      </c>
      <c r="F18" s="8">
        <v>4.16</v>
      </c>
      <c r="G18" s="12">
        <v>34</v>
      </c>
      <c r="H18" s="8">
        <v>7.08</v>
      </c>
      <c r="I18" s="12">
        <v>0</v>
      </c>
    </row>
    <row r="19" spans="2:9" ht="15" customHeight="1" x14ac:dyDescent="0.2">
      <c r="B19" t="s">
        <v>65</v>
      </c>
      <c r="C19" s="12">
        <v>45</v>
      </c>
      <c r="D19" s="8">
        <v>4.21</v>
      </c>
      <c r="E19" s="12">
        <v>27</v>
      </c>
      <c r="F19" s="8">
        <v>4.68</v>
      </c>
      <c r="G19" s="12">
        <v>14</v>
      </c>
      <c r="H19" s="8">
        <v>2.92</v>
      </c>
      <c r="I19" s="12">
        <v>1</v>
      </c>
    </row>
    <row r="20" spans="2:9" ht="15" customHeight="1" x14ac:dyDescent="0.2">
      <c r="B20" s="9" t="s">
        <v>281</v>
      </c>
      <c r="C20" s="12">
        <f>SUM(LTBL_43210[総数／事業所数])</f>
        <v>1070</v>
      </c>
      <c r="E20" s="12">
        <f>SUBTOTAL(109,LTBL_43210[個人／事業所数])</f>
        <v>577</v>
      </c>
      <c r="G20" s="12">
        <f>SUBTOTAL(109,LTBL_43210[法人／事業所数])</f>
        <v>480</v>
      </c>
      <c r="I20" s="12">
        <f>SUBTOTAL(109,LTBL_43210[法人以外の団体／事業所数])</f>
        <v>3</v>
      </c>
    </row>
    <row r="21" spans="2:9" ht="15" customHeight="1" x14ac:dyDescent="0.2">
      <c r="E21" s="11">
        <f>LTBL_43210[[#Totals],[個人／事業所数]]/LTBL_43210[[#Totals],[総数／事業所数]]</f>
        <v>0.53925233644859816</v>
      </c>
      <c r="G21" s="11">
        <f>LTBL_43210[[#Totals],[法人／事業所数]]/LTBL_43210[[#Totals],[総数／事業所数]]</f>
        <v>0.44859813084112149</v>
      </c>
      <c r="I21" s="11">
        <f>LTBL_43210[[#Totals],[法人以外の団体／事業所数]]/LTBL_43210[[#Totals],[総数／事業所数]]</f>
        <v>2.8037383177570091E-3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129</v>
      </c>
      <c r="D24" s="8">
        <v>12.06</v>
      </c>
      <c r="E24" s="12">
        <v>112</v>
      </c>
      <c r="F24" s="8">
        <v>19.41</v>
      </c>
      <c r="G24" s="12">
        <v>17</v>
      </c>
      <c r="H24" s="8">
        <v>3.54</v>
      </c>
      <c r="I24" s="12">
        <v>0</v>
      </c>
    </row>
    <row r="25" spans="2:9" ht="15" customHeight="1" x14ac:dyDescent="0.2">
      <c r="B25" t="s">
        <v>89</v>
      </c>
      <c r="C25" s="12">
        <v>118</v>
      </c>
      <c r="D25" s="8">
        <v>11.03</v>
      </c>
      <c r="E25" s="12">
        <v>103</v>
      </c>
      <c r="F25" s="8">
        <v>17.850000000000001</v>
      </c>
      <c r="G25" s="12">
        <v>15</v>
      </c>
      <c r="H25" s="8">
        <v>3.13</v>
      </c>
      <c r="I25" s="12">
        <v>0</v>
      </c>
    </row>
    <row r="26" spans="2:9" ht="15" customHeight="1" x14ac:dyDescent="0.2">
      <c r="B26" t="s">
        <v>74</v>
      </c>
      <c r="C26" s="12">
        <v>101</v>
      </c>
      <c r="D26" s="8">
        <v>9.44</v>
      </c>
      <c r="E26" s="12">
        <v>26</v>
      </c>
      <c r="F26" s="8">
        <v>4.51</v>
      </c>
      <c r="G26" s="12">
        <v>75</v>
      </c>
      <c r="H26" s="8">
        <v>15.63</v>
      </c>
      <c r="I26" s="12">
        <v>0</v>
      </c>
    </row>
    <row r="27" spans="2:9" ht="15" customHeight="1" x14ac:dyDescent="0.2">
      <c r="B27" t="s">
        <v>81</v>
      </c>
      <c r="C27" s="12">
        <v>75</v>
      </c>
      <c r="D27" s="8">
        <v>7.01</v>
      </c>
      <c r="E27" s="12">
        <v>52</v>
      </c>
      <c r="F27" s="8">
        <v>9.01</v>
      </c>
      <c r="G27" s="12">
        <v>22</v>
      </c>
      <c r="H27" s="8">
        <v>4.58</v>
      </c>
      <c r="I27" s="12">
        <v>1</v>
      </c>
    </row>
    <row r="28" spans="2:9" ht="15" customHeight="1" x14ac:dyDescent="0.2">
      <c r="B28" t="s">
        <v>83</v>
      </c>
      <c r="C28" s="12">
        <v>74</v>
      </c>
      <c r="D28" s="8">
        <v>6.92</v>
      </c>
      <c r="E28" s="12">
        <v>32</v>
      </c>
      <c r="F28" s="8">
        <v>5.55</v>
      </c>
      <c r="G28" s="12">
        <v>42</v>
      </c>
      <c r="H28" s="8">
        <v>8.75</v>
      </c>
      <c r="I28" s="12">
        <v>0</v>
      </c>
    </row>
    <row r="29" spans="2:9" ht="15" customHeight="1" x14ac:dyDescent="0.2">
      <c r="B29" t="s">
        <v>75</v>
      </c>
      <c r="C29" s="12">
        <v>55</v>
      </c>
      <c r="D29" s="8">
        <v>5.14</v>
      </c>
      <c r="E29" s="12">
        <v>28</v>
      </c>
      <c r="F29" s="8">
        <v>4.8499999999999996</v>
      </c>
      <c r="G29" s="12">
        <v>27</v>
      </c>
      <c r="H29" s="8">
        <v>5.63</v>
      </c>
      <c r="I29" s="12">
        <v>0</v>
      </c>
    </row>
    <row r="30" spans="2:9" ht="15" customHeight="1" x14ac:dyDescent="0.2">
      <c r="B30" t="s">
        <v>82</v>
      </c>
      <c r="C30" s="12">
        <v>48</v>
      </c>
      <c r="D30" s="8">
        <v>4.49</v>
      </c>
      <c r="E30" s="12">
        <v>27</v>
      </c>
      <c r="F30" s="8">
        <v>4.68</v>
      </c>
      <c r="G30" s="12">
        <v>21</v>
      </c>
      <c r="H30" s="8">
        <v>4.38</v>
      </c>
      <c r="I30" s="12">
        <v>0</v>
      </c>
    </row>
    <row r="31" spans="2:9" ht="15" customHeight="1" x14ac:dyDescent="0.2">
      <c r="B31" t="s">
        <v>90</v>
      </c>
      <c r="C31" s="12">
        <v>32</v>
      </c>
      <c r="D31" s="8">
        <v>2.99</v>
      </c>
      <c r="E31" s="12">
        <v>22</v>
      </c>
      <c r="F31" s="8">
        <v>3.81</v>
      </c>
      <c r="G31" s="12">
        <v>5</v>
      </c>
      <c r="H31" s="8">
        <v>1.04</v>
      </c>
      <c r="I31" s="12">
        <v>1</v>
      </c>
    </row>
    <row r="32" spans="2:9" ht="15" customHeight="1" x14ac:dyDescent="0.2">
      <c r="B32" t="s">
        <v>92</v>
      </c>
      <c r="C32" s="12">
        <v>32</v>
      </c>
      <c r="D32" s="8">
        <v>2.99</v>
      </c>
      <c r="E32" s="12">
        <v>0</v>
      </c>
      <c r="F32" s="8">
        <v>0</v>
      </c>
      <c r="G32" s="12">
        <v>32</v>
      </c>
      <c r="H32" s="8">
        <v>6.67</v>
      </c>
      <c r="I32" s="12">
        <v>0</v>
      </c>
    </row>
    <row r="33" spans="2:9" ht="15" customHeight="1" x14ac:dyDescent="0.2">
      <c r="B33" t="s">
        <v>76</v>
      </c>
      <c r="C33" s="12">
        <v>31</v>
      </c>
      <c r="D33" s="8">
        <v>2.9</v>
      </c>
      <c r="E33" s="12">
        <v>11</v>
      </c>
      <c r="F33" s="8">
        <v>1.91</v>
      </c>
      <c r="G33" s="12">
        <v>20</v>
      </c>
      <c r="H33" s="8">
        <v>4.17</v>
      </c>
      <c r="I33" s="12">
        <v>0</v>
      </c>
    </row>
    <row r="34" spans="2:9" ht="15" customHeight="1" x14ac:dyDescent="0.2">
      <c r="B34" t="s">
        <v>85</v>
      </c>
      <c r="C34" s="12">
        <v>26</v>
      </c>
      <c r="D34" s="8">
        <v>2.4300000000000002</v>
      </c>
      <c r="E34" s="12">
        <v>11</v>
      </c>
      <c r="F34" s="8">
        <v>1.91</v>
      </c>
      <c r="G34" s="12">
        <v>14</v>
      </c>
      <c r="H34" s="8">
        <v>2.92</v>
      </c>
      <c r="I34" s="12">
        <v>0</v>
      </c>
    </row>
    <row r="35" spans="2:9" ht="15" customHeight="1" x14ac:dyDescent="0.2">
      <c r="B35" t="s">
        <v>91</v>
      </c>
      <c r="C35" s="12">
        <v>26</v>
      </c>
      <c r="D35" s="8">
        <v>2.4300000000000002</v>
      </c>
      <c r="E35" s="12">
        <v>24</v>
      </c>
      <c r="F35" s="8">
        <v>4.16</v>
      </c>
      <c r="G35" s="12">
        <v>2</v>
      </c>
      <c r="H35" s="8">
        <v>0.42</v>
      </c>
      <c r="I35" s="12">
        <v>0</v>
      </c>
    </row>
    <row r="36" spans="2:9" ht="15" customHeight="1" x14ac:dyDescent="0.2">
      <c r="B36" t="s">
        <v>93</v>
      </c>
      <c r="C36" s="12">
        <v>25</v>
      </c>
      <c r="D36" s="8">
        <v>2.34</v>
      </c>
      <c r="E36" s="12">
        <v>20</v>
      </c>
      <c r="F36" s="8">
        <v>3.47</v>
      </c>
      <c r="G36" s="12">
        <v>5</v>
      </c>
      <c r="H36" s="8">
        <v>1.04</v>
      </c>
      <c r="I36" s="12">
        <v>0</v>
      </c>
    </row>
    <row r="37" spans="2:9" ht="15" customHeight="1" x14ac:dyDescent="0.2">
      <c r="B37" t="s">
        <v>87</v>
      </c>
      <c r="C37" s="12">
        <v>24</v>
      </c>
      <c r="D37" s="8">
        <v>2.2400000000000002</v>
      </c>
      <c r="E37" s="12">
        <v>13</v>
      </c>
      <c r="F37" s="8">
        <v>2.25</v>
      </c>
      <c r="G37" s="12">
        <v>11</v>
      </c>
      <c r="H37" s="8">
        <v>2.29</v>
      </c>
      <c r="I37" s="12">
        <v>0</v>
      </c>
    </row>
    <row r="38" spans="2:9" ht="15" customHeight="1" x14ac:dyDescent="0.2">
      <c r="B38" t="s">
        <v>77</v>
      </c>
      <c r="C38" s="12">
        <v>21</v>
      </c>
      <c r="D38" s="8">
        <v>1.96</v>
      </c>
      <c r="E38" s="12">
        <v>6</v>
      </c>
      <c r="F38" s="8">
        <v>1.04</v>
      </c>
      <c r="G38" s="12">
        <v>15</v>
      </c>
      <c r="H38" s="8">
        <v>3.13</v>
      </c>
      <c r="I38" s="12">
        <v>0</v>
      </c>
    </row>
    <row r="39" spans="2:9" ht="15" customHeight="1" x14ac:dyDescent="0.2">
      <c r="B39" t="s">
        <v>86</v>
      </c>
      <c r="C39" s="12">
        <v>17</v>
      </c>
      <c r="D39" s="8">
        <v>1.59</v>
      </c>
      <c r="E39" s="12">
        <v>13</v>
      </c>
      <c r="F39" s="8">
        <v>2.25</v>
      </c>
      <c r="G39" s="12">
        <v>4</v>
      </c>
      <c r="H39" s="8">
        <v>0.83</v>
      </c>
      <c r="I39" s="12">
        <v>0</v>
      </c>
    </row>
    <row r="40" spans="2:9" ht="15" customHeight="1" x14ac:dyDescent="0.2">
      <c r="B40" t="s">
        <v>79</v>
      </c>
      <c r="C40" s="12">
        <v>16</v>
      </c>
      <c r="D40" s="8">
        <v>1.5</v>
      </c>
      <c r="E40" s="12">
        <v>4</v>
      </c>
      <c r="F40" s="8">
        <v>0.69</v>
      </c>
      <c r="G40" s="12">
        <v>12</v>
      </c>
      <c r="H40" s="8">
        <v>2.5</v>
      </c>
      <c r="I40" s="12">
        <v>0</v>
      </c>
    </row>
    <row r="41" spans="2:9" ht="15" customHeight="1" x14ac:dyDescent="0.2">
      <c r="B41" t="s">
        <v>80</v>
      </c>
      <c r="C41" s="12">
        <v>15</v>
      </c>
      <c r="D41" s="8">
        <v>1.4</v>
      </c>
      <c r="E41" s="12">
        <v>6</v>
      </c>
      <c r="F41" s="8">
        <v>1.04</v>
      </c>
      <c r="G41" s="12">
        <v>9</v>
      </c>
      <c r="H41" s="8">
        <v>1.88</v>
      </c>
      <c r="I41" s="12">
        <v>0</v>
      </c>
    </row>
    <row r="42" spans="2:9" ht="15" customHeight="1" x14ac:dyDescent="0.2">
      <c r="B42" t="s">
        <v>102</v>
      </c>
      <c r="C42" s="12">
        <v>13</v>
      </c>
      <c r="D42" s="8">
        <v>1.21</v>
      </c>
      <c r="E42" s="12">
        <v>2</v>
      </c>
      <c r="F42" s="8">
        <v>0.35</v>
      </c>
      <c r="G42" s="12">
        <v>11</v>
      </c>
      <c r="H42" s="8">
        <v>2.29</v>
      </c>
      <c r="I42" s="12">
        <v>0</v>
      </c>
    </row>
    <row r="43" spans="2:9" ht="15" customHeight="1" x14ac:dyDescent="0.2">
      <c r="B43" t="s">
        <v>84</v>
      </c>
      <c r="C43" s="12">
        <v>13</v>
      </c>
      <c r="D43" s="8">
        <v>1.21</v>
      </c>
      <c r="E43" s="12">
        <v>5</v>
      </c>
      <c r="F43" s="8">
        <v>0.87</v>
      </c>
      <c r="G43" s="12">
        <v>8</v>
      </c>
      <c r="H43" s="8">
        <v>1.67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56</v>
      </c>
      <c r="D47" s="8">
        <v>5.23</v>
      </c>
      <c r="E47" s="12">
        <v>52</v>
      </c>
      <c r="F47" s="8">
        <v>9.01</v>
      </c>
      <c r="G47" s="12">
        <v>4</v>
      </c>
      <c r="H47" s="8">
        <v>0.83</v>
      </c>
      <c r="I47" s="12">
        <v>0</v>
      </c>
    </row>
    <row r="48" spans="2:9" ht="15" customHeight="1" x14ac:dyDescent="0.2">
      <c r="B48" t="s">
        <v>149</v>
      </c>
      <c r="C48" s="12">
        <v>48</v>
      </c>
      <c r="D48" s="8">
        <v>4.49</v>
      </c>
      <c r="E48" s="12">
        <v>45</v>
      </c>
      <c r="F48" s="8">
        <v>7.8</v>
      </c>
      <c r="G48" s="12">
        <v>3</v>
      </c>
      <c r="H48" s="8">
        <v>0.63</v>
      </c>
      <c r="I48" s="12">
        <v>0</v>
      </c>
    </row>
    <row r="49" spans="2:9" ht="15" customHeight="1" x14ac:dyDescent="0.2">
      <c r="B49" t="s">
        <v>150</v>
      </c>
      <c r="C49" s="12">
        <v>41</v>
      </c>
      <c r="D49" s="8">
        <v>3.83</v>
      </c>
      <c r="E49" s="12">
        <v>41</v>
      </c>
      <c r="F49" s="8">
        <v>7.11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135</v>
      </c>
      <c r="C50" s="12">
        <v>40</v>
      </c>
      <c r="D50" s="8">
        <v>3.74</v>
      </c>
      <c r="E50" s="12">
        <v>5</v>
      </c>
      <c r="F50" s="8">
        <v>0.87</v>
      </c>
      <c r="G50" s="12">
        <v>35</v>
      </c>
      <c r="H50" s="8">
        <v>7.29</v>
      </c>
      <c r="I50" s="12">
        <v>0</v>
      </c>
    </row>
    <row r="51" spans="2:9" ht="15" customHeight="1" x14ac:dyDescent="0.2">
      <c r="B51" t="s">
        <v>140</v>
      </c>
      <c r="C51" s="12">
        <v>32</v>
      </c>
      <c r="D51" s="8">
        <v>2.99</v>
      </c>
      <c r="E51" s="12">
        <v>25</v>
      </c>
      <c r="F51" s="8">
        <v>4.33</v>
      </c>
      <c r="G51" s="12">
        <v>6</v>
      </c>
      <c r="H51" s="8">
        <v>1.25</v>
      </c>
      <c r="I51" s="12">
        <v>1</v>
      </c>
    </row>
    <row r="52" spans="2:9" ht="15" customHeight="1" x14ac:dyDescent="0.2">
      <c r="B52" t="s">
        <v>141</v>
      </c>
      <c r="C52" s="12">
        <v>32</v>
      </c>
      <c r="D52" s="8">
        <v>2.99</v>
      </c>
      <c r="E52" s="12">
        <v>18</v>
      </c>
      <c r="F52" s="8">
        <v>3.12</v>
      </c>
      <c r="G52" s="12">
        <v>14</v>
      </c>
      <c r="H52" s="8">
        <v>2.92</v>
      </c>
      <c r="I52" s="12">
        <v>0</v>
      </c>
    </row>
    <row r="53" spans="2:9" ht="15" customHeight="1" x14ac:dyDescent="0.2">
      <c r="B53" t="s">
        <v>137</v>
      </c>
      <c r="C53" s="12">
        <v>30</v>
      </c>
      <c r="D53" s="8">
        <v>2.8</v>
      </c>
      <c r="E53" s="12">
        <v>12</v>
      </c>
      <c r="F53" s="8">
        <v>2.08</v>
      </c>
      <c r="G53" s="12">
        <v>18</v>
      </c>
      <c r="H53" s="8">
        <v>3.75</v>
      </c>
      <c r="I53" s="12">
        <v>0</v>
      </c>
    </row>
    <row r="54" spans="2:9" ht="15" customHeight="1" x14ac:dyDescent="0.2">
      <c r="B54" t="s">
        <v>148</v>
      </c>
      <c r="C54" s="12">
        <v>29</v>
      </c>
      <c r="D54" s="8">
        <v>2.71</v>
      </c>
      <c r="E54" s="12">
        <v>27</v>
      </c>
      <c r="F54" s="8">
        <v>4.68</v>
      </c>
      <c r="G54" s="12">
        <v>2</v>
      </c>
      <c r="H54" s="8">
        <v>0.42</v>
      </c>
      <c r="I54" s="12">
        <v>0</v>
      </c>
    </row>
    <row r="55" spans="2:9" ht="15" customHeight="1" x14ac:dyDescent="0.2">
      <c r="B55" t="s">
        <v>147</v>
      </c>
      <c r="C55" s="12">
        <v>26</v>
      </c>
      <c r="D55" s="8">
        <v>2.4300000000000002</v>
      </c>
      <c r="E55" s="12">
        <v>24</v>
      </c>
      <c r="F55" s="8">
        <v>4.16</v>
      </c>
      <c r="G55" s="12">
        <v>2</v>
      </c>
      <c r="H55" s="8">
        <v>0.42</v>
      </c>
      <c r="I55" s="12">
        <v>0</v>
      </c>
    </row>
    <row r="56" spans="2:9" ht="15" customHeight="1" x14ac:dyDescent="0.2">
      <c r="B56" t="s">
        <v>154</v>
      </c>
      <c r="C56" s="12">
        <v>25</v>
      </c>
      <c r="D56" s="8">
        <v>2.34</v>
      </c>
      <c r="E56" s="12">
        <v>20</v>
      </c>
      <c r="F56" s="8">
        <v>3.47</v>
      </c>
      <c r="G56" s="12">
        <v>5</v>
      </c>
      <c r="H56" s="8">
        <v>1.04</v>
      </c>
      <c r="I56" s="12">
        <v>0</v>
      </c>
    </row>
    <row r="57" spans="2:9" ht="15" customHeight="1" x14ac:dyDescent="0.2">
      <c r="B57" t="s">
        <v>153</v>
      </c>
      <c r="C57" s="12">
        <v>22</v>
      </c>
      <c r="D57" s="8">
        <v>2.06</v>
      </c>
      <c r="E57" s="12">
        <v>22</v>
      </c>
      <c r="F57" s="8">
        <v>3.81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152</v>
      </c>
      <c r="C58" s="12">
        <v>21</v>
      </c>
      <c r="D58" s="8">
        <v>1.96</v>
      </c>
      <c r="E58" s="12">
        <v>17</v>
      </c>
      <c r="F58" s="8">
        <v>2.95</v>
      </c>
      <c r="G58" s="12">
        <v>4</v>
      </c>
      <c r="H58" s="8">
        <v>0.83</v>
      </c>
      <c r="I58" s="12">
        <v>0</v>
      </c>
    </row>
    <row r="59" spans="2:9" ht="15" customHeight="1" x14ac:dyDescent="0.2">
      <c r="B59" t="s">
        <v>136</v>
      </c>
      <c r="C59" s="12">
        <v>20</v>
      </c>
      <c r="D59" s="8">
        <v>1.87</v>
      </c>
      <c r="E59" s="12">
        <v>6</v>
      </c>
      <c r="F59" s="8">
        <v>1.04</v>
      </c>
      <c r="G59" s="12">
        <v>14</v>
      </c>
      <c r="H59" s="8">
        <v>2.92</v>
      </c>
      <c r="I59" s="12">
        <v>0</v>
      </c>
    </row>
    <row r="60" spans="2:9" ht="15" customHeight="1" x14ac:dyDescent="0.2">
      <c r="B60" t="s">
        <v>145</v>
      </c>
      <c r="C60" s="12">
        <v>20</v>
      </c>
      <c r="D60" s="8">
        <v>1.87</v>
      </c>
      <c r="E60" s="12">
        <v>9</v>
      </c>
      <c r="F60" s="8">
        <v>1.56</v>
      </c>
      <c r="G60" s="12">
        <v>11</v>
      </c>
      <c r="H60" s="8">
        <v>2.29</v>
      </c>
      <c r="I60" s="12">
        <v>0</v>
      </c>
    </row>
    <row r="61" spans="2:9" ht="15" customHeight="1" x14ac:dyDescent="0.2">
      <c r="B61" t="s">
        <v>138</v>
      </c>
      <c r="C61" s="12">
        <v>17</v>
      </c>
      <c r="D61" s="8">
        <v>1.59</v>
      </c>
      <c r="E61" s="12">
        <v>6</v>
      </c>
      <c r="F61" s="8">
        <v>1.04</v>
      </c>
      <c r="G61" s="12">
        <v>11</v>
      </c>
      <c r="H61" s="8">
        <v>2.29</v>
      </c>
      <c r="I61" s="12">
        <v>0</v>
      </c>
    </row>
    <row r="62" spans="2:9" ht="15" customHeight="1" x14ac:dyDescent="0.2">
      <c r="B62" t="s">
        <v>166</v>
      </c>
      <c r="C62" s="12">
        <v>16</v>
      </c>
      <c r="D62" s="8">
        <v>1.5</v>
      </c>
      <c r="E62" s="12">
        <v>12</v>
      </c>
      <c r="F62" s="8">
        <v>2.08</v>
      </c>
      <c r="G62" s="12">
        <v>4</v>
      </c>
      <c r="H62" s="8">
        <v>0.83</v>
      </c>
      <c r="I62" s="12">
        <v>0</v>
      </c>
    </row>
    <row r="63" spans="2:9" ht="15" customHeight="1" x14ac:dyDescent="0.2">
      <c r="B63" t="s">
        <v>167</v>
      </c>
      <c r="C63" s="12">
        <v>15</v>
      </c>
      <c r="D63" s="8">
        <v>1.4</v>
      </c>
      <c r="E63" s="12">
        <v>8</v>
      </c>
      <c r="F63" s="8">
        <v>1.39</v>
      </c>
      <c r="G63" s="12">
        <v>7</v>
      </c>
      <c r="H63" s="8">
        <v>1.46</v>
      </c>
      <c r="I63" s="12">
        <v>0</v>
      </c>
    </row>
    <row r="64" spans="2:9" ht="15" customHeight="1" x14ac:dyDescent="0.2">
      <c r="B64" t="s">
        <v>142</v>
      </c>
      <c r="C64" s="12">
        <v>15</v>
      </c>
      <c r="D64" s="8">
        <v>1.4</v>
      </c>
      <c r="E64" s="12">
        <v>3</v>
      </c>
      <c r="F64" s="8">
        <v>0.52</v>
      </c>
      <c r="G64" s="12">
        <v>12</v>
      </c>
      <c r="H64" s="8">
        <v>2.5</v>
      </c>
      <c r="I64" s="12">
        <v>0</v>
      </c>
    </row>
    <row r="65" spans="2:9" ht="15" customHeight="1" x14ac:dyDescent="0.2">
      <c r="B65" t="s">
        <v>175</v>
      </c>
      <c r="C65" s="12">
        <v>14</v>
      </c>
      <c r="D65" s="8">
        <v>1.31</v>
      </c>
      <c r="E65" s="12">
        <v>7</v>
      </c>
      <c r="F65" s="8">
        <v>1.21</v>
      </c>
      <c r="G65" s="12">
        <v>7</v>
      </c>
      <c r="H65" s="8">
        <v>1.46</v>
      </c>
      <c r="I65" s="12">
        <v>0</v>
      </c>
    </row>
    <row r="66" spans="2:9" ht="15" customHeight="1" x14ac:dyDescent="0.2">
      <c r="B66" t="s">
        <v>168</v>
      </c>
      <c r="C66" s="12">
        <v>14</v>
      </c>
      <c r="D66" s="8">
        <v>1.31</v>
      </c>
      <c r="E66" s="12">
        <v>4</v>
      </c>
      <c r="F66" s="8">
        <v>0.69</v>
      </c>
      <c r="G66" s="12">
        <v>10</v>
      </c>
      <c r="H66" s="8">
        <v>2.08</v>
      </c>
      <c r="I66" s="12">
        <v>0</v>
      </c>
    </row>
    <row r="67" spans="2:9" ht="15" customHeight="1" x14ac:dyDescent="0.2">
      <c r="B67" t="s">
        <v>170</v>
      </c>
      <c r="C67" s="12">
        <v>14</v>
      </c>
      <c r="D67" s="8">
        <v>1.31</v>
      </c>
      <c r="E67" s="12">
        <v>8</v>
      </c>
      <c r="F67" s="8">
        <v>1.39</v>
      </c>
      <c r="G67" s="12">
        <v>6</v>
      </c>
      <c r="H67" s="8">
        <v>1.25</v>
      </c>
      <c r="I67" s="12">
        <v>0</v>
      </c>
    </row>
    <row r="68" spans="2:9" ht="15" customHeight="1" x14ac:dyDescent="0.2">
      <c r="B68" t="s">
        <v>176</v>
      </c>
      <c r="C68" s="12">
        <v>14</v>
      </c>
      <c r="D68" s="8">
        <v>1.31</v>
      </c>
      <c r="E68" s="12">
        <v>0</v>
      </c>
      <c r="F68" s="8">
        <v>0</v>
      </c>
      <c r="G68" s="12">
        <v>14</v>
      </c>
      <c r="H68" s="8">
        <v>2.92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8E18-7C71-4B6E-B8E6-9ECB2DA2C03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143</v>
      </c>
      <c r="D6" s="8">
        <v>18.72</v>
      </c>
      <c r="E6" s="12">
        <v>49</v>
      </c>
      <c r="F6" s="8">
        <v>12.66</v>
      </c>
      <c r="G6" s="12">
        <v>94</v>
      </c>
      <c r="H6" s="8">
        <v>25.2</v>
      </c>
      <c r="I6" s="12">
        <v>0</v>
      </c>
    </row>
    <row r="7" spans="2:9" ht="15" customHeight="1" x14ac:dyDescent="0.2">
      <c r="B7" t="s">
        <v>53</v>
      </c>
      <c r="C7" s="12">
        <v>56</v>
      </c>
      <c r="D7" s="8">
        <v>7.33</v>
      </c>
      <c r="E7" s="12">
        <v>15</v>
      </c>
      <c r="F7" s="8">
        <v>3.88</v>
      </c>
      <c r="G7" s="12">
        <v>41</v>
      </c>
      <c r="H7" s="8">
        <v>10.99</v>
      </c>
      <c r="I7" s="12">
        <v>0</v>
      </c>
    </row>
    <row r="8" spans="2:9" ht="15" customHeight="1" x14ac:dyDescent="0.2">
      <c r="B8" t="s">
        <v>54</v>
      </c>
      <c r="C8" s="12">
        <v>5</v>
      </c>
      <c r="D8" s="8">
        <v>0.65</v>
      </c>
      <c r="E8" s="12">
        <v>0</v>
      </c>
      <c r="F8" s="8">
        <v>0</v>
      </c>
      <c r="G8" s="12">
        <v>4</v>
      </c>
      <c r="H8" s="8">
        <v>1.07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0.39</v>
      </c>
      <c r="E9" s="12">
        <v>1</v>
      </c>
      <c r="F9" s="8">
        <v>0.26</v>
      </c>
      <c r="G9" s="12">
        <v>2</v>
      </c>
      <c r="H9" s="8">
        <v>0.54</v>
      </c>
      <c r="I9" s="12">
        <v>0</v>
      </c>
    </row>
    <row r="10" spans="2:9" ht="15" customHeight="1" x14ac:dyDescent="0.2">
      <c r="B10" t="s">
        <v>56</v>
      </c>
      <c r="C10" s="12">
        <v>10</v>
      </c>
      <c r="D10" s="8">
        <v>1.31</v>
      </c>
      <c r="E10" s="12">
        <v>3</v>
      </c>
      <c r="F10" s="8">
        <v>0.78</v>
      </c>
      <c r="G10" s="12">
        <v>7</v>
      </c>
      <c r="H10" s="8">
        <v>1.88</v>
      </c>
      <c r="I10" s="12">
        <v>0</v>
      </c>
    </row>
    <row r="11" spans="2:9" ht="15" customHeight="1" x14ac:dyDescent="0.2">
      <c r="B11" t="s">
        <v>57</v>
      </c>
      <c r="C11" s="12">
        <v>189</v>
      </c>
      <c r="D11" s="8">
        <v>24.74</v>
      </c>
      <c r="E11" s="12">
        <v>80</v>
      </c>
      <c r="F11" s="8">
        <v>20.67</v>
      </c>
      <c r="G11" s="12">
        <v>109</v>
      </c>
      <c r="H11" s="8">
        <v>29.22</v>
      </c>
      <c r="I11" s="12">
        <v>0</v>
      </c>
    </row>
    <row r="12" spans="2:9" ht="15" customHeight="1" x14ac:dyDescent="0.2">
      <c r="B12" t="s">
        <v>58</v>
      </c>
      <c r="C12" s="12">
        <v>6</v>
      </c>
      <c r="D12" s="8">
        <v>0.79</v>
      </c>
      <c r="E12" s="12">
        <v>1</v>
      </c>
      <c r="F12" s="8">
        <v>0.26</v>
      </c>
      <c r="G12" s="12">
        <v>5</v>
      </c>
      <c r="H12" s="8">
        <v>1.34</v>
      </c>
      <c r="I12" s="12">
        <v>0</v>
      </c>
    </row>
    <row r="13" spans="2:9" ht="15" customHeight="1" x14ac:dyDescent="0.2">
      <c r="B13" t="s">
        <v>59</v>
      </c>
      <c r="C13" s="12">
        <v>32</v>
      </c>
      <c r="D13" s="8">
        <v>4.1900000000000004</v>
      </c>
      <c r="E13" s="12">
        <v>10</v>
      </c>
      <c r="F13" s="8">
        <v>2.58</v>
      </c>
      <c r="G13" s="12">
        <v>22</v>
      </c>
      <c r="H13" s="8">
        <v>5.9</v>
      </c>
      <c r="I13" s="12">
        <v>0</v>
      </c>
    </row>
    <row r="14" spans="2:9" ht="15" customHeight="1" x14ac:dyDescent="0.2">
      <c r="B14" t="s">
        <v>60</v>
      </c>
      <c r="C14" s="12">
        <v>38</v>
      </c>
      <c r="D14" s="8">
        <v>4.97</v>
      </c>
      <c r="E14" s="12">
        <v>22</v>
      </c>
      <c r="F14" s="8">
        <v>5.68</v>
      </c>
      <c r="G14" s="12">
        <v>16</v>
      </c>
      <c r="H14" s="8">
        <v>4.29</v>
      </c>
      <c r="I14" s="12">
        <v>0</v>
      </c>
    </row>
    <row r="15" spans="2:9" ht="15" customHeight="1" x14ac:dyDescent="0.2">
      <c r="B15" t="s">
        <v>61</v>
      </c>
      <c r="C15" s="12">
        <v>69</v>
      </c>
      <c r="D15" s="8">
        <v>9.0299999999999994</v>
      </c>
      <c r="E15" s="12">
        <v>59</v>
      </c>
      <c r="F15" s="8">
        <v>15.25</v>
      </c>
      <c r="G15" s="12">
        <v>9</v>
      </c>
      <c r="H15" s="8">
        <v>2.41</v>
      </c>
      <c r="I15" s="12">
        <v>0</v>
      </c>
    </row>
    <row r="16" spans="2:9" ht="15" customHeight="1" x14ac:dyDescent="0.2">
      <c r="B16" t="s">
        <v>62</v>
      </c>
      <c r="C16" s="12">
        <v>115</v>
      </c>
      <c r="D16" s="8">
        <v>15.05</v>
      </c>
      <c r="E16" s="12">
        <v>93</v>
      </c>
      <c r="F16" s="8">
        <v>24.03</v>
      </c>
      <c r="G16" s="12">
        <v>22</v>
      </c>
      <c r="H16" s="8">
        <v>5.9</v>
      </c>
      <c r="I16" s="12">
        <v>0</v>
      </c>
    </row>
    <row r="17" spans="2:9" ht="15" customHeight="1" x14ac:dyDescent="0.2">
      <c r="B17" t="s">
        <v>63</v>
      </c>
      <c r="C17" s="12">
        <v>24</v>
      </c>
      <c r="D17" s="8">
        <v>3.14</v>
      </c>
      <c r="E17" s="12">
        <v>17</v>
      </c>
      <c r="F17" s="8">
        <v>4.3899999999999997</v>
      </c>
      <c r="G17" s="12">
        <v>7</v>
      </c>
      <c r="H17" s="8">
        <v>1.88</v>
      </c>
      <c r="I17" s="12">
        <v>0</v>
      </c>
    </row>
    <row r="18" spans="2:9" ht="15" customHeight="1" x14ac:dyDescent="0.2">
      <c r="B18" t="s">
        <v>64</v>
      </c>
      <c r="C18" s="12">
        <v>48</v>
      </c>
      <c r="D18" s="8">
        <v>6.28</v>
      </c>
      <c r="E18" s="12">
        <v>24</v>
      </c>
      <c r="F18" s="8">
        <v>6.2</v>
      </c>
      <c r="G18" s="12">
        <v>24</v>
      </c>
      <c r="H18" s="8">
        <v>6.43</v>
      </c>
      <c r="I18" s="12">
        <v>0</v>
      </c>
    </row>
    <row r="19" spans="2:9" ht="15" customHeight="1" x14ac:dyDescent="0.2">
      <c r="B19" t="s">
        <v>65</v>
      </c>
      <c r="C19" s="12">
        <v>26</v>
      </c>
      <c r="D19" s="8">
        <v>3.4</v>
      </c>
      <c r="E19" s="12">
        <v>13</v>
      </c>
      <c r="F19" s="8">
        <v>3.36</v>
      </c>
      <c r="G19" s="12">
        <v>11</v>
      </c>
      <c r="H19" s="8">
        <v>2.95</v>
      </c>
      <c r="I19" s="12">
        <v>1</v>
      </c>
    </row>
    <row r="20" spans="2:9" ht="15" customHeight="1" x14ac:dyDescent="0.2">
      <c r="B20" s="9" t="s">
        <v>281</v>
      </c>
      <c r="C20" s="12">
        <f>SUM(LTBL_43211[総数／事業所数])</f>
        <v>764</v>
      </c>
      <c r="E20" s="12">
        <f>SUBTOTAL(109,LTBL_43211[個人／事業所数])</f>
        <v>387</v>
      </c>
      <c r="G20" s="12">
        <f>SUBTOTAL(109,LTBL_43211[法人／事業所数])</f>
        <v>373</v>
      </c>
      <c r="I20" s="12">
        <f>SUBTOTAL(109,LTBL_43211[法人以外の団体／事業所数])</f>
        <v>1</v>
      </c>
    </row>
    <row r="21" spans="2:9" ht="15" customHeight="1" x14ac:dyDescent="0.2">
      <c r="E21" s="11">
        <f>LTBL_43211[[#Totals],[個人／事業所数]]/LTBL_43211[[#Totals],[総数／事業所数]]</f>
        <v>0.50654450261780104</v>
      </c>
      <c r="G21" s="11">
        <f>LTBL_43211[[#Totals],[法人／事業所数]]/LTBL_43211[[#Totals],[総数／事業所数]]</f>
        <v>0.48821989528795812</v>
      </c>
      <c r="I21" s="11">
        <f>LTBL_43211[[#Totals],[法人以外の団体／事業所数]]/LTBL_43211[[#Totals],[総数／事業所数]]</f>
        <v>1.3089005235602095E-3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94</v>
      </c>
      <c r="D24" s="8">
        <v>12.3</v>
      </c>
      <c r="E24" s="12">
        <v>83</v>
      </c>
      <c r="F24" s="8">
        <v>21.45</v>
      </c>
      <c r="G24" s="12">
        <v>11</v>
      </c>
      <c r="H24" s="8">
        <v>2.95</v>
      </c>
      <c r="I24" s="12">
        <v>0</v>
      </c>
    </row>
    <row r="25" spans="2:9" ht="15" customHeight="1" x14ac:dyDescent="0.2">
      <c r="B25" t="s">
        <v>74</v>
      </c>
      <c r="C25" s="12">
        <v>64</v>
      </c>
      <c r="D25" s="8">
        <v>8.3800000000000008</v>
      </c>
      <c r="E25" s="12">
        <v>15</v>
      </c>
      <c r="F25" s="8">
        <v>3.88</v>
      </c>
      <c r="G25" s="12">
        <v>49</v>
      </c>
      <c r="H25" s="8">
        <v>13.14</v>
      </c>
      <c r="I25" s="12">
        <v>0</v>
      </c>
    </row>
    <row r="26" spans="2:9" ht="15" customHeight="1" x14ac:dyDescent="0.2">
      <c r="B26" t="s">
        <v>88</v>
      </c>
      <c r="C26" s="12">
        <v>61</v>
      </c>
      <c r="D26" s="8">
        <v>7.98</v>
      </c>
      <c r="E26" s="12">
        <v>57</v>
      </c>
      <c r="F26" s="8">
        <v>14.73</v>
      </c>
      <c r="G26" s="12">
        <v>4</v>
      </c>
      <c r="H26" s="8">
        <v>1.07</v>
      </c>
      <c r="I26" s="12">
        <v>0</v>
      </c>
    </row>
    <row r="27" spans="2:9" ht="15" customHeight="1" x14ac:dyDescent="0.2">
      <c r="B27" t="s">
        <v>81</v>
      </c>
      <c r="C27" s="12">
        <v>51</v>
      </c>
      <c r="D27" s="8">
        <v>6.68</v>
      </c>
      <c r="E27" s="12">
        <v>33</v>
      </c>
      <c r="F27" s="8">
        <v>8.5299999999999994</v>
      </c>
      <c r="G27" s="12">
        <v>18</v>
      </c>
      <c r="H27" s="8">
        <v>4.83</v>
      </c>
      <c r="I27" s="12">
        <v>0</v>
      </c>
    </row>
    <row r="28" spans="2:9" ht="15" customHeight="1" x14ac:dyDescent="0.2">
      <c r="B28" t="s">
        <v>83</v>
      </c>
      <c r="C28" s="12">
        <v>49</v>
      </c>
      <c r="D28" s="8">
        <v>6.41</v>
      </c>
      <c r="E28" s="12">
        <v>17</v>
      </c>
      <c r="F28" s="8">
        <v>4.3899999999999997</v>
      </c>
      <c r="G28" s="12">
        <v>32</v>
      </c>
      <c r="H28" s="8">
        <v>8.58</v>
      </c>
      <c r="I28" s="12">
        <v>0</v>
      </c>
    </row>
    <row r="29" spans="2:9" ht="15" customHeight="1" x14ac:dyDescent="0.2">
      <c r="B29" t="s">
        <v>75</v>
      </c>
      <c r="C29" s="12">
        <v>44</v>
      </c>
      <c r="D29" s="8">
        <v>5.76</v>
      </c>
      <c r="E29" s="12">
        <v>21</v>
      </c>
      <c r="F29" s="8">
        <v>5.43</v>
      </c>
      <c r="G29" s="12">
        <v>23</v>
      </c>
      <c r="H29" s="8">
        <v>6.17</v>
      </c>
      <c r="I29" s="12">
        <v>0</v>
      </c>
    </row>
    <row r="30" spans="2:9" ht="15" customHeight="1" x14ac:dyDescent="0.2">
      <c r="B30" t="s">
        <v>76</v>
      </c>
      <c r="C30" s="12">
        <v>35</v>
      </c>
      <c r="D30" s="8">
        <v>4.58</v>
      </c>
      <c r="E30" s="12">
        <v>13</v>
      </c>
      <c r="F30" s="8">
        <v>3.36</v>
      </c>
      <c r="G30" s="12">
        <v>22</v>
      </c>
      <c r="H30" s="8">
        <v>5.9</v>
      </c>
      <c r="I30" s="12">
        <v>0</v>
      </c>
    </row>
    <row r="31" spans="2:9" ht="15" customHeight="1" x14ac:dyDescent="0.2">
      <c r="B31" t="s">
        <v>91</v>
      </c>
      <c r="C31" s="12">
        <v>28</v>
      </c>
      <c r="D31" s="8">
        <v>3.66</v>
      </c>
      <c r="E31" s="12">
        <v>24</v>
      </c>
      <c r="F31" s="8">
        <v>6.2</v>
      </c>
      <c r="G31" s="12">
        <v>4</v>
      </c>
      <c r="H31" s="8">
        <v>1.07</v>
      </c>
      <c r="I31" s="12">
        <v>0</v>
      </c>
    </row>
    <row r="32" spans="2:9" ht="15" customHeight="1" x14ac:dyDescent="0.2">
      <c r="B32" t="s">
        <v>82</v>
      </c>
      <c r="C32" s="12">
        <v>27</v>
      </c>
      <c r="D32" s="8">
        <v>3.53</v>
      </c>
      <c r="E32" s="12">
        <v>15</v>
      </c>
      <c r="F32" s="8">
        <v>3.88</v>
      </c>
      <c r="G32" s="12">
        <v>12</v>
      </c>
      <c r="H32" s="8">
        <v>3.22</v>
      </c>
      <c r="I32" s="12">
        <v>0</v>
      </c>
    </row>
    <row r="33" spans="2:9" ht="15" customHeight="1" x14ac:dyDescent="0.2">
      <c r="B33" t="s">
        <v>90</v>
      </c>
      <c r="C33" s="12">
        <v>24</v>
      </c>
      <c r="D33" s="8">
        <v>3.14</v>
      </c>
      <c r="E33" s="12">
        <v>17</v>
      </c>
      <c r="F33" s="8">
        <v>4.3899999999999997</v>
      </c>
      <c r="G33" s="12">
        <v>7</v>
      </c>
      <c r="H33" s="8">
        <v>1.88</v>
      </c>
      <c r="I33" s="12">
        <v>0</v>
      </c>
    </row>
    <row r="34" spans="2:9" ht="15" customHeight="1" x14ac:dyDescent="0.2">
      <c r="B34" t="s">
        <v>85</v>
      </c>
      <c r="C34" s="12">
        <v>22</v>
      </c>
      <c r="D34" s="8">
        <v>2.88</v>
      </c>
      <c r="E34" s="12">
        <v>7</v>
      </c>
      <c r="F34" s="8">
        <v>1.81</v>
      </c>
      <c r="G34" s="12">
        <v>15</v>
      </c>
      <c r="H34" s="8">
        <v>4.0199999999999996</v>
      </c>
      <c r="I34" s="12">
        <v>0</v>
      </c>
    </row>
    <row r="35" spans="2:9" ht="15" customHeight="1" x14ac:dyDescent="0.2">
      <c r="B35" t="s">
        <v>86</v>
      </c>
      <c r="C35" s="12">
        <v>22</v>
      </c>
      <c r="D35" s="8">
        <v>2.88</v>
      </c>
      <c r="E35" s="12">
        <v>16</v>
      </c>
      <c r="F35" s="8">
        <v>4.13</v>
      </c>
      <c r="G35" s="12">
        <v>6</v>
      </c>
      <c r="H35" s="8">
        <v>1.61</v>
      </c>
      <c r="I35" s="12">
        <v>0</v>
      </c>
    </row>
    <row r="36" spans="2:9" ht="15" customHeight="1" x14ac:dyDescent="0.2">
      <c r="B36" t="s">
        <v>80</v>
      </c>
      <c r="C36" s="12">
        <v>20</v>
      </c>
      <c r="D36" s="8">
        <v>2.62</v>
      </c>
      <c r="E36" s="12">
        <v>6</v>
      </c>
      <c r="F36" s="8">
        <v>1.55</v>
      </c>
      <c r="G36" s="12">
        <v>14</v>
      </c>
      <c r="H36" s="8">
        <v>3.75</v>
      </c>
      <c r="I36" s="12">
        <v>0</v>
      </c>
    </row>
    <row r="37" spans="2:9" ht="15" customHeight="1" x14ac:dyDescent="0.2">
      <c r="B37" t="s">
        <v>92</v>
      </c>
      <c r="C37" s="12">
        <v>20</v>
      </c>
      <c r="D37" s="8">
        <v>2.62</v>
      </c>
      <c r="E37" s="12">
        <v>0</v>
      </c>
      <c r="F37" s="8">
        <v>0</v>
      </c>
      <c r="G37" s="12">
        <v>20</v>
      </c>
      <c r="H37" s="8">
        <v>5.36</v>
      </c>
      <c r="I37" s="12">
        <v>0</v>
      </c>
    </row>
    <row r="38" spans="2:9" ht="15" customHeight="1" x14ac:dyDescent="0.2">
      <c r="B38" t="s">
        <v>77</v>
      </c>
      <c r="C38" s="12">
        <v>17</v>
      </c>
      <c r="D38" s="8">
        <v>2.23</v>
      </c>
      <c r="E38" s="12">
        <v>3</v>
      </c>
      <c r="F38" s="8">
        <v>0.78</v>
      </c>
      <c r="G38" s="12">
        <v>14</v>
      </c>
      <c r="H38" s="8">
        <v>3.75</v>
      </c>
      <c r="I38" s="12">
        <v>0</v>
      </c>
    </row>
    <row r="39" spans="2:9" ht="15" customHeight="1" x14ac:dyDescent="0.2">
      <c r="B39" t="s">
        <v>87</v>
      </c>
      <c r="C39" s="12">
        <v>16</v>
      </c>
      <c r="D39" s="8">
        <v>2.09</v>
      </c>
      <c r="E39" s="12">
        <v>6</v>
      </c>
      <c r="F39" s="8">
        <v>1.55</v>
      </c>
      <c r="G39" s="12">
        <v>10</v>
      </c>
      <c r="H39" s="8">
        <v>2.68</v>
      </c>
      <c r="I39" s="12">
        <v>0</v>
      </c>
    </row>
    <row r="40" spans="2:9" ht="15" customHeight="1" x14ac:dyDescent="0.2">
      <c r="B40" t="s">
        <v>97</v>
      </c>
      <c r="C40" s="12">
        <v>16</v>
      </c>
      <c r="D40" s="8">
        <v>2.09</v>
      </c>
      <c r="E40" s="12">
        <v>8</v>
      </c>
      <c r="F40" s="8">
        <v>2.0699999999999998</v>
      </c>
      <c r="G40" s="12">
        <v>8</v>
      </c>
      <c r="H40" s="8">
        <v>2.14</v>
      </c>
      <c r="I40" s="12">
        <v>0</v>
      </c>
    </row>
    <row r="41" spans="2:9" ht="15" customHeight="1" x14ac:dyDescent="0.2">
      <c r="B41" t="s">
        <v>78</v>
      </c>
      <c r="C41" s="12">
        <v>14</v>
      </c>
      <c r="D41" s="8">
        <v>1.83</v>
      </c>
      <c r="E41" s="12">
        <v>3</v>
      </c>
      <c r="F41" s="8">
        <v>0.78</v>
      </c>
      <c r="G41" s="12">
        <v>11</v>
      </c>
      <c r="H41" s="8">
        <v>2.95</v>
      </c>
      <c r="I41" s="12">
        <v>0</v>
      </c>
    </row>
    <row r="42" spans="2:9" ht="15" customHeight="1" x14ac:dyDescent="0.2">
      <c r="B42" t="s">
        <v>93</v>
      </c>
      <c r="C42" s="12">
        <v>13</v>
      </c>
      <c r="D42" s="8">
        <v>1.7</v>
      </c>
      <c r="E42" s="12">
        <v>11</v>
      </c>
      <c r="F42" s="8">
        <v>2.84</v>
      </c>
      <c r="G42" s="12">
        <v>2</v>
      </c>
      <c r="H42" s="8">
        <v>0.54</v>
      </c>
      <c r="I42" s="12">
        <v>0</v>
      </c>
    </row>
    <row r="43" spans="2:9" ht="15" customHeight="1" x14ac:dyDescent="0.2">
      <c r="B43" t="s">
        <v>98</v>
      </c>
      <c r="C43" s="12">
        <v>11</v>
      </c>
      <c r="D43" s="8">
        <v>1.44</v>
      </c>
      <c r="E43" s="12">
        <v>3</v>
      </c>
      <c r="F43" s="8">
        <v>0.78</v>
      </c>
      <c r="G43" s="12">
        <v>8</v>
      </c>
      <c r="H43" s="8">
        <v>2.14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49</v>
      </c>
      <c r="D47" s="8">
        <v>6.41</v>
      </c>
      <c r="E47" s="12">
        <v>42</v>
      </c>
      <c r="F47" s="8">
        <v>10.85</v>
      </c>
      <c r="G47" s="12">
        <v>7</v>
      </c>
      <c r="H47" s="8">
        <v>1.88</v>
      </c>
      <c r="I47" s="12">
        <v>0</v>
      </c>
    </row>
    <row r="48" spans="2:9" ht="15" customHeight="1" x14ac:dyDescent="0.2">
      <c r="B48" t="s">
        <v>150</v>
      </c>
      <c r="C48" s="12">
        <v>31</v>
      </c>
      <c r="D48" s="8">
        <v>4.0599999999999996</v>
      </c>
      <c r="E48" s="12">
        <v>29</v>
      </c>
      <c r="F48" s="8">
        <v>7.49</v>
      </c>
      <c r="G48" s="12">
        <v>2</v>
      </c>
      <c r="H48" s="8">
        <v>0.54</v>
      </c>
      <c r="I48" s="12">
        <v>0</v>
      </c>
    </row>
    <row r="49" spans="2:9" ht="15" customHeight="1" x14ac:dyDescent="0.2">
      <c r="B49" t="s">
        <v>135</v>
      </c>
      <c r="C49" s="12">
        <v>25</v>
      </c>
      <c r="D49" s="8">
        <v>3.27</v>
      </c>
      <c r="E49" s="12">
        <v>2</v>
      </c>
      <c r="F49" s="8">
        <v>0.52</v>
      </c>
      <c r="G49" s="12">
        <v>23</v>
      </c>
      <c r="H49" s="8">
        <v>6.17</v>
      </c>
      <c r="I49" s="12">
        <v>0</v>
      </c>
    </row>
    <row r="50" spans="2:9" ht="15" customHeight="1" x14ac:dyDescent="0.2">
      <c r="B50" t="s">
        <v>140</v>
      </c>
      <c r="C50" s="12">
        <v>20</v>
      </c>
      <c r="D50" s="8">
        <v>2.62</v>
      </c>
      <c r="E50" s="12">
        <v>14</v>
      </c>
      <c r="F50" s="8">
        <v>3.62</v>
      </c>
      <c r="G50" s="12">
        <v>6</v>
      </c>
      <c r="H50" s="8">
        <v>1.61</v>
      </c>
      <c r="I50" s="12">
        <v>0</v>
      </c>
    </row>
    <row r="51" spans="2:9" ht="15" customHeight="1" x14ac:dyDescent="0.2">
      <c r="B51" t="s">
        <v>153</v>
      </c>
      <c r="C51" s="12">
        <v>20</v>
      </c>
      <c r="D51" s="8">
        <v>2.62</v>
      </c>
      <c r="E51" s="12">
        <v>19</v>
      </c>
      <c r="F51" s="8">
        <v>4.91</v>
      </c>
      <c r="G51" s="12">
        <v>1</v>
      </c>
      <c r="H51" s="8">
        <v>0.27</v>
      </c>
      <c r="I51" s="12">
        <v>0</v>
      </c>
    </row>
    <row r="52" spans="2:9" ht="15" customHeight="1" x14ac:dyDescent="0.2">
      <c r="B52" t="s">
        <v>136</v>
      </c>
      <c r="C52" s="12">
        <v>18</v>
      </c>
      <c r="D52" s="8">
        <v>2.36</v>
      </c>
      <c r="E52" s="12">
        <v>4</v>
      </c>
      <c r="F52" s="8">
        <v>1.03</v>
      </c>
      <c r="G52" s="12">
        <v>14</v>
      </c>
      <c r="H52" s="8">
        <v>3.75</v>
      </c>
      <c r="I52" s="12">
        <v>0</v>
      </c>
    </row>
    <row r="53" spans="2:9" ht="15" customHeight="1" x14ac:dyDescent="0.2">
      <c r="B53" t="s">
        <v>148</v>
      </c>
      <c r="C53" s="12">
        <v>18</v>
      </c>
      <c r="D53" s="8">
        <v>2.36</v>
      </c>
      <c r="E53" s="12">
        <v>18</v>
      </c>
      <c r="F53" s="8">
        <v>4.6500000000000004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138</v>
      </c>
      <c r="C54" s="12">
        <v>16</v>
      </c>
      <c r="D54" s="8">
        <v>2.09</v>
      </c>
      <c r="E54" s="12">
        <v>8</v>
      </c>
      <c r="F54" s="8">
        <v>2.0699999999999998</v>
      </c>
      <c r="G54" s="12">
        <v>8</v>
      </c>
      <c r="H54" s="8">
        <v>2.14</v>
      </c>
      <c r="I54" s="12">
        <v>0</v>
      </c>
    </row>
    <row r="55" spans="2:9" ht="15" customHeight="1" x14ac:dyDescent="0.2">
      <c r="B55" t="s">
        <v>141</v>
      </c>
      <c r="C55" s="12">
        <v>16</v>
      </c>
      <c r="D55" s="8">
        <v>2.09</v>
      </c>
      <c r="E55" s="12">
        <v>9</v>
      </c>
      <c r="F55" s="8">
        <v>2.33</v>
      </c>
      <c r="G55" s="12">
        <v>7</v>
      </c>
      <c r="H55" s="8">
        <v>1.88</v>
      </c>
      <c r="I55" s="12">
        <v>0</v>
      </c>
    </row>
    <row r="56" spans="2:9" ht="15" customHeight="1" x14ac:dyDescent="0.2">
      <c r="B56" t="s">
        <v>152</v>
      </c>
      <c r="C56" s="12">
        <v>15</v>
      </c>
      <c r="D56" s="8">
        <v>1.96</v>
      </c>
      <c r="E56" s="12">
        <v>13</v>
      </c>
      <c r="F56" s="8">
        <v>3.36</v>
      </c>
      <c r="G56" s="12">
        <v>2</v>
      </c>
      <c r="H56" s="8">
        <v>0.54</v>
      </c>
      <c r="I56" s="12">
        <v>0</v>
      </c>
    </row>
    <row r="57" spans="2:9" ht="15" customHeight="1" x14ac:dyDescent="0.2">
      <c r="B57" t="s">
        <v>147</v>
      </c>
      <c r="C57" s="12">
        <v>14</v>
      </c>
      <c r="D57" s="8">
        <v>1.83</v>
      </c>
      <c r="E57" s="12">
        <v>12</v>
      </c>
      <c r="F57" s="8">
        <v>3.1</v>
      </c>
      <c r="G57" s="12">
        <v>2</v>
      </c>
      <c r="H57" s="8">
        <v>0.54</v>
      </c>
      <c r="I57" s="12">
        <v>0</v>
      </c>
    </row>
    <row r="58" spans="2:9" ht="15" customHeight="1" x14ac:dyDescent="0.2">
      <c r="B58" t="s">
        <v>163</v>
      </c>
      <c r="C58" s="12">
        <v>13</v>
      </c>
      <c r="D58" s="8">
        <v>1.7</v>
      </c>
      <c r="E58" s="12">
        <v>4</v>
      </c>
      <c r="F58" s="8">
        <v>1.03</v>
      </c>
      <c r="G58" s="12">
        <v>9</v>
      </c>
      <c r="H58" s="8">
        <v>2.41</v>
      </c>
      <c r="I58" s="12">
        <v>0</v>
      </c>
    </row>
    <row r="59" spans="2:9" ht="15" customHeight="1" x14ac:dyDescent="0.2">
      <c r="B59" t="s">
        <v>166</v>
      </c>
      <c r="C59" s="12">
        <v>13</v>
      </c>
      <c r="D59" s="8">
        <v>1.7</v>
      </c>
      <c r="E59" s="12">
        <v>5</v>
      </c>
      <c r="F59" s="8">
        <v>1.29</v>
      </c>
      <c r="G59" s="12">
        <v>8</v>
      </c>
      <c r="H59" s="8">
        <v>2.14</v>
      </c>
      <c r="I59" s="12">
        <v>0</v>
      </c>
    </row>
    <row r="60" spans="2:9" ht="15" customHeight="1" x14ac:dyDescent="0.2">
      <c r="B60" t="s">
        <v>168</v>
      </c>
      <c r="C60" s="12">
        <v>13</v>
      </c>
      <c r="D60" s="8">
        <v>1.7</v>
      </c>
      <c r="E60" s="12">
        <v>4</v>
      </c>
      <c r="F60" s="8">
        <v>1.03</v>
      </c>
      <c r="G60" s="12">
        <v>9</v>
      </c>
      <c r="H60" s="8">
        <v>2.41</v>
      </c>
      <c r="I60" s="12">
        <v>0</v>
      </c>
    </row>
    <row r="61" spans="2:9" ht="15" customHeight="1" x14ac:dyDescent="0.2">
      <c r="B61" t="s">
        <v>145</v>
      </c>
      <c r="C61" s="12">
        <v>13</v>
      </c>
      <c r="D61" s="8">
        <v>1.7</v>
      </c>
      <c r="E61" s="12">
        <v>7</v>
      </c>
      <c r="F61" s="8">
        <v>1.81</v>
      </c>
      <c r="G61" s="12">
        <v>6</v>
      </c>
      <c r="H61" s="8">
        <v>1.61</v>
      </c>
      <c r="I61" s="12">
        <v>0</v>
      </c>
    </row>
    <row r="62" spans="2:9" ht="15" customHeight="1" x14ac:dyDescent="0.2">
      <c r="B62" t="s">
        <v>146</v>
      </c>
      <c r="C62" s="12">
        <v>13</v>
      </c>
      <c r="D62" s="8">
        <v>1.7</v>
      </c>
      <c r="E62" s="12">
        <v>5</v>
      </c>
      <c r="F62" s="8">
        <v>1.29</v>
      </c>
      <c r="G62" s="12">
        <v>8</v>
      </c>
      <c r="H62" s="8">
        <v>2.14</v>
      </c>
      <c r="I62" s="12">
        <v>0</v>
      </c>
    </row>
    <row r="63" spans="2:9" ht="15" customHeight="1" x14ac:dyDescent="0.2">
      <c r="B63" t="s">
        <v>154</v>
      </c>
      <c r="C63" s="12">
        <v>13</v>
      </c>
      <c r="D63" s="8">
        <v>1.7</v>
      </c>
      <c r="E63" s="12">
        <v>11</v>
      </c>
      <c r="F63" s="8">
        <v>2.84</v>
      </c>
      <c r="G63" s="12">
        <v>2</v>
      </c>
      <c r="H63" s="8">
        <v>0.54</v>
      </c>
      <c r="I63" s="12">
        <v>0</v>
      </c>
    </row>
    <row r="64" spans="2:9" ht="15" customHeight="1" x14ac:dyDescent="0.2">
      <c r="B64" t="s">
        <v>162</v>
      </c>
      <c r="C64" s="12">
        <v>12</v>
      </c>
      <c r="D64" s="8">
        <v>1.57</v>
      </c>
      <c r="E64" s="12">
        <v>4</v>
      </c>
      <c r="F64" s="8">
        <v>1.03</v>
      </c>
      <c r="G64" s="12">
        <v>8</v>
      </c>
      <c r="H64" s="8">
        <v>2.14</v>
      </c>
      <c r="I64" s="12">
        <v>0</v>
      </c>
    </row>
    <row r="65" spans="2:9" ht="15" customHeight="1" x14ac:dyDescent="0.2">
      <c r="B65" t="s">
        <v>143</v>
      </c>
      <c r="C65" s="12">
        <v>12</v>
      </c>
      <c r="D65" s="8">
        <v>1.57</v>
      </c>
      <c r="E65" s="12">
        <v>4</v>
      </c>
      <c r="F65" s="8">
        <v>1.03</v>
      </c>
      <c r="G65" s="12">
        <v>8</v>
      </c>
      <c r="H65" s="8">
        <v>2.14</v>
      </c>
      <c r="I65" s="12">
        <v>0</v>
      </c>
    </row>
    <row r="66" spans="2:9" ht="15" customHeight="1" x14ac:dyDescent="0.2">
      <c r="B66" t="s">
        <v>171</v>
      </c>
      <c r="C66" s="12">
        <v>12</v>
      </c>
      <c r="D66" s="8">
        <v>1.57</v>
      </c>
      <c r="E66" s="12">
        <v>8</v>
      </c>
      <c r="F66" s="8">
        <v>2.0699999999999998</v>
      </c>
      <c r="G66" s="12">
        <v>4</v>
      </c>
      <c r="H66" s="8">
        <v>1.07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CE62-800E-4BA9-87B1-9094C8DD9C55}">
  <sheetPr>
    <pageSetUpPr fitToPage="1"/>
  </sheetPr>
  <dimension ref="A1:H81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</row>
    <row r="2" spans="1:8" x14ac:dyDescent="0.2">
      <c r="A2" s="1" t="s">
        <v>0</v>
      </c>
      <c r="B2" s="4">
        <v>41382</v>
      </c>
      <c r="C2" s="5">
        <v>99.990000000000009</v>
      </c>
      <c r="D2" s="4">
        <v>21234</v>
      </c>
      <c r="E2" s="5">
        <v>100.02000000000001</v>
      </c>
      <c r="F2" s="4">
        <v>19590</v>
      </c>
      <c r="G2" s="5">
        <v>99.989999999999981</v>
      </c>
      <c r="H2" s="4">
        <v>209</v>
      </c>
    </row>
    <row r="3" spans="1:8" x14ac:dyDescent="0.2">
      <c r="A3" s="2" t="s">
        <v>51</v>
      </c>
      <c r="B3" s="4">
        <v>9</v>
      </c>
      <c r="C3" s="5">
        <v>0.02</v>
      </c>
      <c r="D3" s="4">
        <v>2</v>
      </c>
      <c r="E3" s="5">
        <v>0.01</v>
      </c>
      <c r="F3" s="4">
        <v>7</v>
      </c>
      <c r="G3" s="5">
        <v>0.04</v>
      </c>
      <c r="H3" s="4">
        <v>0</v>
      </c>
    </row>
    <row r="4" spans="1:8" x14ac:dyDescent="0.2">
      <c r="A4" s="2" t="s">
        <v>52</v>
      </c>
      <c r="B4" s="4">
        <v>5847</v>
      </c>
      <c r="C4" s="5">
        <v>14.13</v>
      </c>
      <c r="D4" s="4">
        <v>1887</v>
      </c>
      <c r="E4" s="5">
        <v>8.89</v>
      </c>
      <c r="F4" s="4">
        <v>3960</v>
      </c>
      <c r="G4" s="5">
        <v>20.21</v>
      </c>
      <c r="H4" s="4">
        <v>0</v>
      </c>
    </row>
    <row r="5" spans="1:8" x14ac:dyDescent="0.2">
      <c r="A5" s="2" t="s">
        <v>53</v>
      </c>
      <c r="B5" s="4">
        <v>2468</v>
      </c>
      <c r="C5" s="5">
        <v>5.96</v>
      </c>
      <c r="D5" s="4">
        <v>917</v>
      </c>
      <c r="E5" s="5">
        <v>4.32</v>
      </c>
      <c r="F5" s="4">
        <v>1545</v>
      </c>
      <c r="G5" s="5">
        <v>7.89</v>
      </c>
      <c r="H5" s="4">
        <v>6</v>
      </c>
    </row>
    <row r="6" spans="1:8" x14ac:dyDescent="0.2">
      <c r="A6" s="2" t="s">
        <v>54</v>
      </c>
      <c r="B6" s="4">
        <v>145</v>
      </c>
      <c r="C6" s="5">
        <v>0.35</v>
      </c>
      <c r="D6" s="4">
        <v>0</v>
      </c>
      <c r="E6" s="5">
        <v>0</v>
      </c>
      <c r="F6" s="4">
        <v>126</v>
      </c>
      <c r="G6" s="5">
        <v>0.64</v>
      </c>
      <c r="H6" s="4">
        <v>0</v>
      </c>
    </row>
    <row r="7" spans="1:8" x14ac:dyDescent="0.2">
      <c r="A7" s="2" t="s">
        <v>55</v>
      </c>
      <c r="B7" s="4">
        <v>309</v>
      </c>
      <c r="C7" s="5">
        <v>0.75</v>
      </c>
      <c r="D7" s="4">
        <v>28</v>
      </c>
      <c r="E7" s="5">
        <v>0.13</v>
      </c>
      <c r="F7" s="4">
        <v>280</v>
      </c>
      <c r="G7" s="5">
        <v>1.43</v>
      </c>
      <c r="H7" s="4">
        <v>0</v>
      </c>
    </row>
    <row r="8" spans="1:8" x14ac:dyDescent="0.2">
      <c r="A8" s="2" t="s">
        <v>56</v>
      </c>
      <c r="B8" s="4">
        <v>455</v>
      </c>
      <c r="C8" s="5">
        <v>1.1000000000000001</v>
      </c>
      <c r="D8" s="4">
        <v>165</v>
      </c>
      <c r="E8" s="5">
        <v>0.78</v>
      </c>
      <c r="F8" s="4">
        <v>280</v>
      </c>
      <c r="G8" s="5">
        <v>1.43</v>
      </c>
      <c r="H8" s="4">
        <v>8</v>
      </c>
    </row>
    <row r="9" spans="1:8" x14ac:dyDescent="0.2">
      <c r="A9" s="2" t="s">
        <v>57</v>
      </c>
      <c r="B9" s="4">
        <v>10645</v>
      </c>
      <c r="C9" s="5">
        <v>25.72</v>
      </c>
      <c r="D9" s="4">
        <v>4953</v>
      </c>
      <c r="E9" s="5">
        <v>23.33</v>
      </c>
      <c r="F9" s="4">
        <v>5656</v>
      </c>
      <c r="G9" s="5">
        <v>28.87</v>
      </c>
      <c r="H9" s="4">
        <v>35</v>
      </c>
    </row>
    <row r="10" spans="1:8" x14ac:dyDescent="0.2">
      <c r="A10" s="2" t="s">
        <v>58</v>
      </c>
      <c r="B10" s="4">
        <v>341</v>
      </c>
      <c r="C10" s="5">
        <v>0.82</v>
      </c>
      <c r="D10" s="4">
        <v>61</v>
      </c>
      <c r="E10" s="5">
        <v>0.28999999999999998</v>
      </c>
      <c r="F10" s="4">
        <v>280</v>
      </c>
      <c r="G10" s="5">
        <v>1.43</v>
      </c>
      <c r="H10" s="4">
        <v>0</v>
      </c>
    </row>
    <row r="11" spans="1:8" x14ac:dyDescent="0.2">
      <c r="A11" s="2" t="s">
        <v>59</v>
      </c>
      <c r="B11" s="4">
        <v>3551</v>
      </c>
      <c r="C11" s="5">
        <v>8.58</v>
      </c>
      <c r="D11" s="4">
        <v>1150</v>
      </c>
      <c r="E11" s="5">
        <v>5.42</v>
      </c>
      <c r="F11" s="4">
        <v>2385</v>
      </c>
      <c r="G11" s="5">
        <v>12.17</v>
      </c>
      <c r="H11" s="4">
        <v>7</v>
      </c>
    </row>
    <row r="12" spans="1:8" x14ac:dyDescent="0.2">
      <c r="A12" s="2" t="s">
        <v>60</v>
      </c>
      <c r="B12" s="4">
        <v>2370</v>
      </c>
      <c r="C12" s="5">
        <v>5.73</v>
      </c>
      <c r="D12" s="4">
        <v>1138</v>
      </c>
      <c r="E12" s="5">
        <v>5.36</v>
      </c>
      <c r="F12" s="4">
        <v>1211</v>
      </c>
      <c r="G12" s="5">
        <v>6.18</v>
      </c>
      <c r="H12" s="4">
        <v>6</v>
      </c>
    </row>
    <row r="13" spans="1:8" x14ac:dyDescent="0.2">
      <c r="A13" s="2" t="s">
        <v>61</v>
      </c>
      <c r="B13" s="4">
        <v>4822</v>
      </c>
      <c r="C13" s="5">
        <v>11.65</v>
      </c>
      <c r="D13" s="4">
        <v>3862</v>
      </c>
      <c r="E13" s="5">
        <v>18.190000000000001</v>
      </c>
      <c r="F13" s="4">
        <v>928</v>
      </c>
      <c r="G13" s="5">
        <v>4.74</v>
      </c>
      <c r="H13" s="4">
        <v>5</v>
      </c>
    </row>
    <row r="14" spans="1:8" x14ac:dyDescent="0.2">
      <c r="A14" s="2" t="s">
        <v>62</v>
      </c>
      <c r="B14" s="4">
        <v>5344</v>
      </c>
      <c r="C14" s="5">
        <v>12.91</v>
      </c>
      <c r="D14" s="4">
        <v>4292</v>
      </c>
      <c r="E14" s="5">
        <v>20.21</v>
      </c>
      <c r="F14" s="4">
        <v>999</v>
      </c>
      <c r="G14" s="5">
        <v>5.0999999999999996</v>
      </c>
      <c r="H14" s="4">
        <v>5</v>
      </c>
    </row>
    <row r="15" spans="1:8" x14ac:dyDescent="0.2">
      <c r="A15" s="2" t="s">
        <v>63</v>
      </c>
      <c r="B15" s="4">
        <v>1304</v>
      </c>
      <c r="C15" s="5">
        <v>3.15</v>
      </c>
      <c r="D15" s="4">
        <v>911</v>
      </c>
      <c r="E15" s="5">
        <v>4.29</v>
      </c>
      <c r="F15" s="4">
        <v>290</v>
      </c>
      <c r="G15" s="5">
        <v>1.48</v>
      </c>
      <c r="H15" s="4">
        <v>7</v>
      </c>
    </row>
    <row r="16" spans="1:8" x14ac:dyDescent="0.2">
      <c r="A16" s="2" t="s">
        <v>64</v>
      </c>
      <c r="B16" s="4">
        <v>1944</v>
      </c>
      <c r="C16" s="5">
        <v>4.7</v>
      </c>
      <c r="D16" s="4">
        <v>1098</v>
      </c>
      <c r="E16" s="5">
        <v>5.17</v>
      </c>
      <c r="F16" s="4">
        <v>763</v>
      </c>
      <c r="G16" s="5">
        <v>3.89</v>
      </c>
      <c r="H16" s="4">
        <v>4</v>
      </c>
    </row>
    <row r="17" spans="1:8" x14ac:dyDescent="0.2">
      <c r="A17" s="2" t="s">
        <v>65</v>
      </c>
      <c r="B17" s="4">
        <v>1828</v>
      </c>
      <c r="C17" s="5">
        <v>4.42</v>
      </c>
      <c r="D17" s="4">
        <v>770</v>
      </c>
      <c r="E17" s="5">
        <v>3.63</v>
      </c>
      <c r="F17" s="4">
        <v>880</v>
      </c>
      <c r="G17" s="5">
        <v>4.49</v>
      </c>
      <c r="H17" s="4">
        <v>126</v>
      </c>
    </row>
    <row r="18" spans="1:8" x14ac:dyDescent="0.2">
      <c r="A18" s="1" t="s">
        <v>1</v>
      </c>
      <c r="B18" s="4">
        <v>16595</v>
      </c>
      <c r="C18" s="5">
        <v>100</v>
      </c>
      <c r="D18" s="4">
        <v>7000</v>
      </c>
      <c r="E18" s="5">
        <v>100.02</v>
      </c>
      <c r="F18" s="4">
        <v>9456</v>
      </c>
      <c r="G18" s="5">
        <v>100</v>
      </c>
      <c r="H18" s="4">
        <v>54</v>
      </c>
    </row>
    <row r="19" spans="1:8" x14ac:dyDescent="0.2">
      <c r="A19" s="2" t="s">
        <v>51</v>
      </c>
      <c r="B19" s="4">
        <v>3</v>
      </c>
      <c r="C19" s="5">
        <v>0.02</v>
      </c>
      <c r="D19" s="4">
        <v>0</v>
      </c>
      <c r="E19" s="5">
        <v>0</v>
      </c>
      <c r="F19" s="4">
        <v>3</v>
      </c>
      <c r="G19" s="5">
        <v>0.03</v>
      </c>
      <c r="H19" s="4">
        <v>0</v>
      </c>
    </row>
    <row r="20" spans="1:8" x14ac:dyDescent="0.2">
      <c r="A20" s="2" t="s">
        <v>52</v>
      </c>
      <c r="B20" s="4">
        <v>2134</v>
      </c>
      <c r="C20" s="5">
        <v>12.86</v>
      </c>
      <c r="D20" s="4">
        <v>366</v>
      </c>
      <c r="E20" s="5">
        <v>5.23</v>
      </c>
      <c r="F20" s="4">
        <v>1768</v>
      </c>
      <c r="G20" s="5">
        <v>18.7</v>
      </c>
      <c r="H20" s="4">
        <v>0</v>
      </c>
    </row>
    <row r="21" spans="1:8" x14ac:dyDescent="0.2">
      <c r="A21" s="2" t="s">
        <v>53</v>
      </c>
      <c r="B21" s="4">
        <v>718</v>
      </c>
      <c r="C21" s="5">
        <v>4.33</v>
      </c>
      <c r="D21" s="4">
        <v>202</v>
      </c>
      <c r="E21" s="5">
        <v>2.89</v>
      </c>
      <c r="F21" s="4">
        <v>516</v>
      </c>
      <c r="G21" s="5">
        <v>5.46</v>
      </c>
      <c r="H21" s="4">
        <v>0</v>
      </c>
    </row>
    <row r="22" spans="1:8" x14ac:dyDescent="0.2">
      <c r="A22" s="2" t="s">
        <v>54</v>
      </c>
      <c r="B22" s="4">
        <v>52</v>
      </c>
      <c r="C22" s="5">
        <v>0.31</v>
      </c>
      <c r="D22" s="4">
        <v>0</v>
      </c>
      <c r="E22" s="5">
        <v>0</v>
      </c>
      <c r="F22" s="4">
        <v>52</v>
      </c>
      <c r="G22" s="5">
        <v>0.55000000000000004</v>
      </c>
      <c r="H22" s="4">
        <v>0</v>
      </c>
    </row>
    <row r="23" spans="1:8" x14ac:dyDescent="0.2">
      <c r="A23" s="2" t="s">
        <v>55</v>
      </c>
      <c r="B23" s="4">
        <v>175</v>
      </c>
      <c r="C23" s="5">
        <v>1.05</v>
      </c>
      <c r="D23" s="4">
        <v>7</v>
      </c>
      <c r="E23" s="5">
        <v>0.1</v>
      </c>
      <c r="F23" s="4">
        <v>168</v>
      </c>
      <c r="G23" s="5">
        <v>1.78</v>
      </c>
      <c r="H23" s="4">
        <v>0</v>
      </c>
    </row>
    <row r="24" spans="1:8" x14ac:dyDescent="0.2">
      <c r="A24" s="2" t="s">
        <v>56</v>
      </c>
      <c r="B24" s="4">
        <v>150</v>
      </c>
      <c r="C24" s="5">
        <v>0.9</v>
      </c>
      <c r="D24" s="4">
        <v>81</v>
      </c>
      <c r="E24" s="5">
        <v>1.1599999999999999</v>
      </c>
      <c r="F24" s="4">
        <v>69</v>
      </c>
      <c r="G24" s="5">
        <v>0.73</v>
      </c>
      <c r="H24" s="4">
        <v>0</v>
      </c>
    </row>
    <row r="25" spans="1:8" x14ac:dyDescent="0.2">
      <c r="A25" s="2" t="s">
        <v>57</v>
      </c>
      <c r="B25" s="4">
        <v>3894</v>
      </c>
      <c r="C25" s="5">
        <v>23.46</v>
      </c>
      <c r="D25" s="4">
        <v>1367</v>
      </c>
      <c r="E25" s="5">
        <v>19.53</v>
      </c>
      <c r="F25" s="4">
        <v>2525</v>
      </c>
      <c r="G25" s="5">
        <v>26.7</v>
      </c>
      <c r="H25" s="4">
        <v>2</v>
      </c>
    </row>
    <row r="26" spans="1:8" x14ac:dyDescent="0.2">
      <c r="A26" s="2" t="s">
        <v>58</v>
      </c>
      <c r="B26" s="4">
        <v>179</v>
      </c>
      <c r="C26" s="5">
        <v>1.08</v>
      </c>
      <c r="D26" s="4">
        <v>25</v>
      </c>
      <c r="E26" s="5">
        <v>0.36</v>
      </c>
      <c r="F26" s="4">
        <v>154</v>
      </c>
      <c r="G26" s="5">
        <v>1.63</v>
      </c>
      <c r="H26" s="4">
        <v>0</v>
      </c>
    </row>
    <row r="27" spans="1:8" x14ac:dyDescent="0.2">
      <c r="A27" s="2" t="s">
        <v>59</v>
      </c>
      <c r="B27" s="4">
        <v>2102</v>
      </c>
      <c r="C27" s="5">
        <v>12.67</v>
      </c>
      <c r="D27" s="4">
        <v>429</v>
      </c>
      <c r="E27" s="5">
        <v>6.13</v>
      </c>
      <c r="F27" s="4">
        <v>1665</v>
      </c>
      <c r="G27" s="5">
        <v>17.61</v>
      </c>
      <c r="H27" s="4">
        <v>6</v>
      </c>
    </row>
    <row r="28" spans="1:8" x14ac:dyDescent="0.2">
      <c r="A28" s="2" t="s">
        <v>60</v>
      </c>
      <c r="B28" s="4">
        <v>1332</v>
      </c>
      <c r="C28" s="5">
        <v>8.0299999999999994</v>
      </c>
      <c r="D28" s="4">
        <v>573</v>
      </c>
      <c r="E28" s="5">
        <v>8.19</v>
      </c>
      <c r="F28" s="4">
        <v>755</v>
      </c>
      <c r="G28" s="5">
        <v>7.98</v>
      </c>
      <c r="H28" s="4">
        <v>1</v>
      </c>
    </row>
    <row r="29" spans="1:8" x14ac:dyDescent="0.2">
      <c r="A29" s="2" t="s">
        <v>61</v>
      </c>
      <c r="B29" s="4">
        <v>1823</v>
      </c>
      <c r="C29" s="5">
        <v>10.99</v>
      </c>
      <c r="D29" s="4">
        <v>1378</v>
      </c>
      <c r="E29" s="5">
        <v>19.690000000000001</v>
      </c>
      <c r="F29" s="4">
        <v>443</v>
      </c>
      <c r="G29" s="5">
        <v>4.68</v>
      </c>
      <c r="H29" s="4">
        <v>0</v>
      </c>
    </row>
    <row r="30" spans="1:8" x14ac:dyDescent="0.2">
      <c r="A30" s="2" t="s">
        <v>62</v>
      </c>
      <c r="B30" s="4">
        <v>2027</v>
      </c>
      <c r="C30" s="5">
        <v>12.21</v>
      </c>
      <c r="D30" s="4">
        <v>1543</v>
      </c>
      <c r="E30" s="5">
        <v>22.04</v>
      </c>
      <c r="F30" s="4">
        <v>455</v>
      </c>
      <c r="G30" s="5">
        <v>4.8099999999999996</v>
      </c>
      <c r="H30" s="4">
        <v>2</v>
      </c>
    </row>
    <row r="31" spans="1:8" x14ac:dyDescent="0.2">
      <c r="A31" s="2" t="s">
        <v>63</v>
      </c>
      <c r="B31" s="4">
        <v>572</v>
      </c>
      <c r="C31" s="5">
        <v>3.45</v>
      </c>
      <c r="D31" s="4">
        <v>391</v>
      </c>
      <c r="E31" s="5">
        <v>5.59</v>
      </c>
      <c r="F31" s="4">
        <v>168</v>
      </c>
      <c r="G31" s="5">
        <v>1.78</v>
      </c>
      <c r="H31" s="4">
        <v>2</v>
      </c>
    </row>
    <row r="32" spans="1:8" x14ac:dyDescent="0.2">
      <c r="A32" s="2" t="s">
        <v>64</v>
      </c>
      <c r="B32" s="4">
        <v>749</v>
      </c>
      <c r="C32" s="5">
        <v>4.51</v>
      </c>
      <c r="D32" s="4">
        <v>437</v>
      </c>
      <c r="E32" s="5">
        <v>6.24</v>
      </c>
      <c r="F32" s="4">
        <v>275</v>
      </c>
      <c r="G32" s="5">
        <v>2.91</v>
      </c>
      <c r="H32" s="4">
        <v>0</v>
      </c>
    </row>
    <row r="33" spans="1:8" x14ac:dyDescent="0.2">
      <c r="A33" s="2" t="s">
        <v>65</v>
      </c>
      <c r="B33" s="4">
        <v>685</v>
      </c>
      <c r="C33" s="5">
        <v>4.13</v>
      </c>
      <c r="D33" s="4">
        <v>201</v>
      </c>
      <c r="E33" s="5">
        <v>2.87</v>
      </c>
      <c r="F33" s="4">
        <v>440</v>
      </c>
      <c r="G33" s="5">
        <v>4.6500000000000004</v>
      </c>
      <c r="H33" s="4">
        <v>41</v>
      </c>
    </row>
    <row r="34" spans="1:8" x14ac:dyDescent="0.2">
      <c r="A34" s="1" t="s">
        <v>2</v>
      </c>
      <c r="B34" s="4">
        <v>6316</v>
      </c>
      <c r="C34" s="5">
        <v>100.00999999999999</v>
      </c>
      <c r="D34" s="4">
        <v>2760</v>
      </c>
      <c r="E34" s="5">
        <v>100.00000000000001</v>
      </c>
      <c r="F34" s="4">
        <v>3526</v>
      </c>
      <c r="G34" s="5">
        <v>99.999999999999986</v>
      </c>
      <c r="H34" s="4">
        <v>15</v>
      </c>
    </row>
    <row r="35" spans="1:8" x14ac:dyDescent="0.2">
      <c r="A35" s="2" t="s">
        <v>51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52</v>
      </c>
      <c r="B36" s="4">
        <v>390</v>
      </c>
      <c r="C36" s="5">
        <v>6.17</v>
      </c>
      <c r="D36" s="4">
        <v>33</v>
      </c>
      <c r="E36" s="5">
        <v>1.2</v>
      </c>
      <c r="F36" s="4">
        <v>357</v>
      </c>
      <c r="G36" s="5">
        <v>10.119999999999999</v>
      </c>
      <c r="H36" s="4">
        <v>0</v>
      </c>
    </row>
    <row r="37" spans="1:8" x14ac:dyDescent="0.2">
      <c r="A37" s="2" t="s">
        <v>53</v>
      </c>
      <c r="B37" s="4">
        <v>169</v>
      </c>
      <c r="C37" s="5">
        <v>2.68</v>
      </c>
      <c r="D37" s="4">
        <v>44</v>
      </c>
      <c r="E37" s="5">
        <v>1.59</v>
      </c>
      <c r="F37" s="4">
        <v>125</v>
      </c>
      <c r="G37" s="5">
        <v>3.55</v>
      </c>
      <c r="H37" s="4">
        <v>0</v>
      </c>
    </row>
    <row r="38" spans="1:8" x14ac:dyDescent="0.2">
      <c r="A38" s="2" t="s">
        <v>54</v>
      </c>
      <c r="B38" s="4">
        <v>12</v>
      </c>
      <c r="C38" s="5">
        <v>0.19</v>
      </c>
      <c r="D38" s="4">
        <v>0</v>
      </c>
      <c r="E38" s="5">
        <v>0</v>
      </c>
      <c r="F38" s="4">
        <v>12</v>
      </c>
      <c r="G38" s="5">
        <v>0.34</v>
      </c>
      <c r="H38" s="4">
        <v>0</v>
      </c>
    </row>
    <row r="39" spans="1:8" x14ac:dyDescent="0.2">
      <c r="A39" s="2" t="s">
        <v>55</v>
      </c>
      <c r="B39" s="4">
        <v>91</v>
      </c>
      <c r="C39" s="5">
        <v>1.44</v>
      </c>
      <c r="D39" s="4">
        <v>3</v>
      </c>
      <c r="E39" s="5">
        <v>0.11</v>
      </c>
      <c r="F39" s="4">
        <v>88</v>
      </c>
      <c r="G39" s="5">
        <v>2.5</v>
      </c>
      <c r="H39" s="4">
        <v>0</v>
      </c>
    </row>
    <row r="40" spans="1:8" x14ac:dyDescent="0.2">
      <c r="A40" s="2" t="s">
        <v>56</v>
      </c>
      <c r="B40" s="4">
        <v>29</v>
      </c>
      <c r="C40" s="5">
        <v>0.46</v>
      </c>
      <c r="D40" s="4">
        <v>13</v>
      </c>
      <c r="E40" s="5">
        <v>0.47</v>
      </c>
      <c r="F40" s="4">
        <v>16</v>
      </c>
      <c r="G40" s="5">
        <v>0.45</v>
      </c>
      <c r="H40" s="4">
        <v>0</v>
      </c>
    </row>
    <row r="41" spans="1:8" x14ac:dyDescent="0.2">
      <c r="A41" s="2" t="s">
        <v>57</v>
      </c>
      <c r="B41" s="4">
        <v>1462</v>
      </c>
      <c r="C41" s="5">
        <v>23.15</v>
      </c>
      <c r="D41" s="4">
        <v>478</v>
      </c>
      <c r="E41" s="5">
        <v>17.32</v>
      </c>
      <c r="F41" s="4">
        <v>984</v>
      </c>
      <c r="G41" s="5">
        <v>27.91</v>
      </c>
      <c r="H41" s="4">
        <v>0</v>
      </c>
    </row>
    <row r="42" spans="1:8" x14ac:dyDescent="0.2">
      <c r="A42" s="2" t="s">
        <v>58</v>
      </c>
      <c r="B42" s="4">
        <v>75</v>
      </c>
      <c r="C42" s="5">
        <v>1.19</v>
      </c>
      <c r="D42" s="4">
        <v>4</v>
      </c>
      <c r="E42" s="5">
        <v>0.14000000000000001</v>
      </c>
      <c r="F42" s="4">
        <v>71</v>
      </c>
      <c r="G42" s="5">
        <v>2.0099999999999998</v>
      </c>
      <c r="H42" s="4">
        <v>0</v>
      </c>
    </row>
    <row r="43" spans="1:8" x14ac:dyDescent="0.2">
      <c r="A43" s="2" t="s">
        <v>59</v>
      </c>
      <c r="B43" s="4">
        <v>953</v>
      </c>
      <c r="C43" s="5">
        <v>15.09</v>
      </c>
      <c r="D43" s="4">
        <v>185</v>
      </c>
      <c r="E43" s="5">
        <v>6.7</v>
      </c>
      <c r="F43" s="4">
        <v>766</v>
      </c>
      <c r="G43" s="5">
        <v>21.72</v>
      </c>
      <c r="H43" s="4">
        <v>2</v>
      </c>
    </row>
    <row r="44" spans="1:8" x14ac:dyDescent="0.2">
      <c r="A44" s="2" t="s">
        <v>60</v>
      </c>
      <c r="B44" s="4">
        <v>591</v>
      </c>
      <c r="C44" s="5">
        <v>9.36</v>
      </c>
      <c r="D44" s="4">
        <v>254</v>
      </c>
      <c r="E44" s="5">
        <v>9.1999999999999993</v>
      </c>
      <c r="F44" s="4">
        <v>335</v>
      </c>
      <c r="G44" s="5">
        <v>9.5</v>
      </c>
      <c r="H44" s="4">
        <v>1</v>
      </c>
    </row>
    <row r="45" spans="1:8" x14ac:dyDescent="0.2">
      <c r="A45" s="2" t="s">
        <v>61</v>
      </c>
      <c r="B45" s="4">
        <v>1185</v>
      </c>
      <c r="C45" s="5">
        <v>18.760000000000002</v>
      </c>
      <c r="D45" s="4">
        <v>903</v>
      </c>
      <c r="E45" s="5">
        <v>32.72</v>
      </c>
      <c r="F45" s="4">
        <v>282</v>
      </c>
      <c r="G45" s="5">
        <v>8</v>
      </c>
      <c r="H45" s="4">
        <v>0</v>
      </c>
    </row>
    <row r="46" spans="1:8" x14ac:dyDescent="0.2">
      <c r="A46" s="2" t="s">
        <v>62</v>
      </c>
      <c r="B46" s="4">
        <v>717</v>
      </c>
      <c r="C46" s="5">
        <v>11.35</v>
      </c>
      <c r="D46" s="4">
        <v>526</v>
      </c>
      <c r="E46" s="5">
        <v>19.059999999999999</v>
      </c>
      <c r="F46" s="4">
        <v>183</v>
      </c>
      <c r="G46" s="5">
        <v>5.19</v>
      </c>
      <c r="H46" s="4">
        <v>2</v>
      </c>
    </row>
    <row r="47" spans="1:8" x14ac:dyDescent="0.2">
      <c r="A47" s="2" t="s">
        <v>63</v>
      </c>
      <c r="B47" s="4">
        <v>202</v>
      </c>
      <c r="C47" s="5">
        <v>3.2</v>
      </c>
      <c r="D47" s="4">
        <v>128</v>
      </c>
      <c r="E47" s="5">
        <v>4.6399999999999997</v>
      </c>
      <c r="F47" s="4">
        <v>70</v>
      </c>
      <c r="G47" s="5">
        <v>1.99</v>
      </c>
      <c r="H47" s="4">
        <v>1</v>
      </c>
    </row>
    <row r="48" spans="1:8" x14ac:dyDescent="0.2">
      <c r="A48" s="2" t="s">
        <v>64</v>
      </c>
      <c r="B48" s="4">
        <v>241</v>
      </c>
      <c r="C48" s="5">
        <v>3.82</v>
      </c>
      <c r="D48" s="4">
        <v>152</v>
      </c>
      <c r="E48" s="5">
        <v>5.51</v>
      </c>
      <c r="F48" s="4">
        <v>84</v>
      </c>
      <c r="G48" s="5">
        <v>2.38</v>
      </c>
      <c r="H48" s="4">
        <v>0</v>
      </c>
    </row>
    <row r="49" spans="1:8" x14ac:dyDescent="0.2">
      <c r="A49" s="2" t="s">
        <v>65</v>
      </c>
      <c r="B49" s="4">
        <v>199</v>
      </c>
      <c r="C49" s="5">
        <v>3.15</v>
      </c>
      <c r="D49" s="4">
        <v>37</v>
      </c>
      <c r="E49" s="5">
        <v>1.34</v>
      </c>
      <c r="F49" s="4">
        <v>153</v>
      </c>
      <c r="G49" s="5">
        <v>4.34</v>
      </c>
      <c r="H49" s="4">
        <v>9</v>
      </c>
    </row>
    <row r="50" spans="1:8" x14ac:dyDescent="0.2">
      <c r="A50" s="1" t="s">
        <v>3</v>
      </c>
      <c r="B50" s="4">
        <v>3908</v>
      </c>
      <c r="C50" s="5">
        <v>99.989999999999981</v>
      </c>
      <c r="D50" s="4">
        <v>1592</v>
      </c>
      <c r="E50" s="5">
        <v>99.99</v>
      </c>
      <c r="F50" s="4">
        <v>2301</v>
      </c>
      <c r="G50" s="5">
        <v>99.979999999999976</v>
      </c>
      <c r="H50" s="4">
        <v>8</v>
      </c>
    </row>
    <row r="51" spans="1:8" x14ac:dyDescent="0.2">
      <c r="A51" s="2" t="s">
        <v>51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52</v>
      </c>
      <c r="B52" s="4">
        <v>700</v>
      </c>
      <c r="C52" s="5">
        <v>17.91</v>
      </c>
      <c r="D52" s="4">
        <v>109</v>
      </c>
      <c r="E52" s="5">
        <v>6.85</v>
      </c>
      <c r="F52" s="4">
        <v>591</v>
      </c>
      <c r="G52" s="5">
        <v>25.68</v>
      </c>
      <c r="H52" s="4">
        <v>0</v>
      </c>
    </row>
    <row r="53" spans="1:8" x14ac:dyDescent="0.2">
      <c r="A53" s="2" t="s">
        <v>53</v>
      </c>
      <c r="B53" s="4">
        <v>165</v>
      </c>
      <c r="C53" s="5">
        <v>4.22</v>
      </c>
      <c r="D53" s="4">
        <v>51</v>
      </c>
      <c r="E53" s="5">
        <v>3.2</v>
      </c>
      <c r="F53" s="4">
        <v>114</v>
      </c>
      <c r="G53" s="5">
        <v>4.95</v>
      </c>
      <c r="H53" s="4">
        <v>0</v>
      </c>
    </row>
    <row r="54" spans="1:8" x14ac:dyDescent="0.2">
      <c r="A54" s="2" t="s">
        <v>54</v>
      </c>
      <c r="B54" s="4">
        <v>6</v>
      </c>
      <c r="C54" s="5">
        <v>0.15</v>
      </c>
      <c r="D54" s="4">
        <v>0</v>
      </c>
      <c r="E54" s="5">
        <v>0</v>
      </c>
      <c r="F54" s="4">
        <v>6</v>
      </c>
      <c r="G54" s="5">
        <v>0.26</v>
      </c>
      <c r="H54" s="4">
        <v>0</v>
      </c>
    </row>
    <row r="55" spans="1:8" x14ac:dyDescent="0.2">
      <c r="A55" s="2" t="s">
        <v>55</v>
      </c>
      <c r="B55" s="4">
        <v>30</v>
      </c>
      <c r="C55" s="5">
        <v>0.77</v>
      </c>
      <c r="D55" s="4">
        <v>2</v>
      </c>
      <c r="E55" s="5">
        <v>0.13</v>
      </c>
      <c r="F55" s="4">
        <v>28</v>
      </c>
      <c r="G55" s="5">
        <v>1.22</v>
      </c>
      <c r="H55" s="4">
        <v>0</v>
      </c>
    </row>
    <row r="56" spans="1:8" x14ac:dyDescent="0.2">
      <c r="A56" s="2" t="s">
        <v>56</v>
      </c>
      <c r="B56" s="4">
        <v>50</v>
      </c>
      <c r="C56" s="5">
        <v>1.28</v>
      </c>
      <c r="D56" s="4">
        <v>32</v>
      </c>
      <c r="E56" s="5">
        <v>2.0099999999999998</v>
      </c>
      <c r="F56" s="4">
        <v>18</v>
      </c>
      <c r="G56" s="5">
        <v>0.78</v>
      </c>
      <c r="H56" s="4">
        <v>0</v>
      </c>
    </row>
    <row r="57" spans="1:8" x14ac:dyDescent="0.2">
      <c r="A57" s="2" t="s">
        <v>57</v>
      </c>
      <c r="B57" s="4">
        <v>867</v>
      </c>
      <c r="C57" s="5">
        <v>22.19</v>
      </c>
      <c r="D57" s="4">
        <v>321</v>
      </c>
      <c r="E57" s="5">
        <v>20.16</v>
      </c>
      <c r="F57" s="4">
        <v>546</v>
      </c>
      <c r="G57" s="5">
        <v>23.73</v>
      </c>
      <c r="H57" s="4">
        <v>0</v>
      </c>
    </row>
    <row r="58" spans="1:8" x14ac:dyDescent="0.2">
      <c r="A58" s="2" t="s">
        <v>58</v>
      </c>
      <c r="B58" s="4">
        <v>33</v>
      </c>
      <c r="C58" s="5">
        <v>0.84</v>
      </c>
      <c r="D58" s="4">
        <v>4</v>
      </c>
      <c r="E58" s="5">
        <v>0.25</v>
      </c>
      <c r="F58" s="4">
        <v>29</v>
      </c>
      <c r="G58" s="5">
        <v>1.26</v>
      </c>
      <c r="H58" s="4">
        <v>0</v>
      </c>
    </row>
    <row r="59" spans="1:8" x14ac:dyDescent="0.2">
      <c r="A59" s="2" t="s">
        <v>59</v>
      </c>
      <c r="B59" s="4">
        <v>473</v>
      </c>
      <c r="C59" s="5">
        <v>12.1</v>
      </c>
      <c r="D59" s="4">
        <v>69</v>
      </c>
      <c r="E59" s="5">
        <v>4.33</v>
      </c>
      <c r="F59" s="4">
        <v>403</v>
      </c>
      <c r="G59" s="5">
        <v>17.510000000000002</v>
      </c>
      <c r="H59" s="4">
        <v>0</v>
      </c>
    </row>
    <row r="60" spans="1:8" x14ac:dyDescent="0.2">
      <c r="A60" s="2" t="s">
        <v>60</v>
      </c>
      <c r="B60" s="4">
        <v>349</v>
      </c>
      <c r="C60" s="5">
        <v>8.93</v>
      </c>
      <c r="D60" s="4">
        <v>140</v>
      </c>
      <c r="E60" s="5">
        <v>8.7899999999999991</v>
      </c>
      <c r="F60" s="4">
        <v>209</v>
      </c>
      <c r="G60" s="5">
        <v>9.08</v>
      </c>
      <c r="H60" s="4">
        <v>0</v>
      </c>
    </row>
    <row r="61" spans="1:8" x14ac:dyDescent="0.2">
      <c r="A61" s="2" t="s">
        <v>61</v>
      </c>
      <c r="B61" s="4">
        <v>258</v>
      </c>
      <c r="C61" s="5">
        <v>6.6</v>
      </c>
      <c r="D61" s="4">
        <v>203</v>
      </c>
      <c r="E61" s="5">
        <v>12.75</v>
      </c>
      <c r="F61" s="4">
        <v>54</v>
      </c>
      <c r="G61" s="5">
        <v>2.35</v>
      </c>
      <c r="H61" s="4">
        <v>0</v>
      </c>
    </row>
    <row r="62" spans="1:8" x14ac:dyDescent="0.2">
      <c r="A62" s="2" t="s">
        <v>62</v>
      </c>
      <c r="B62" s="4">
        <v>492</v>
      </c>
      <c r="C62" s="5">
        <v>12.59</v>
      </c>
      <c r="D62" s="4">
        <v>381</v>
      </c>
      <c r="E62" s="5">
        <v>23.93</v>
      </c>
      <c r="F62" s="4">
        <v>111</v>
      </c>
      <c r="G62" s="5">
        <v>4.82</v>
      </c>
      <c r="H62" s="4">
        <v>0</v>
      </c>
    </row>
    <row r="63" spans="1:8" x14ac:dyDescent="0.2">
      <c r="A63" s="2" t="s">
        <v>63</v>
      </c>
      <c r="B63" s="4">
        <v>143</v>
      </c>
      <c r="C63" s="5">
        <v>3.66</v>
      </c>
      <c r="D63" s="4">
        <v>107</v>
      </c>
      <c r="E63" s="5">
        <v>6.72</v>
      </c>
      <c r="F63" s="4">
        <v>35</v>
      </c>
      <c r="G63" s="5">
        <v>1.52</v>
      </c>
      <c r="H63" s="4">
        <v>0</v>
      </c>
    </row>
    <row r="64" spans="1:8" x14ac:dyDescent="0.2">
      <c r="A64" s="2" t="s">
        <v>64</v>
      </c>
      <c r="B64" s="4">
        <v>183</v>
      </c>
      <c r="C64" s="5">
        <v>4.68</v>
      </c>
      <c r="D64" s="4">
        <v>121</v>
      </c>
      <c r="E64" s="5">
        <v>7.6</v>
      </c>
      <c r="F64" s="4">
        <v>58</v>
      </c>
      <c r="G64" s="5">
        <v>2.52</v>
      </c>
      <c r="H64" s="4">
        <v>0</v>
      </c>
    </row>
    <row r="65" spans="1:8" x14ac:dyDescent="0.2">
      <c r="A65" s="2" t="s">
        <v>65</v>
      </c>
      <c r="B65" s="4">
        <v>159</v>
      </c>
      <c r="C65" s="5">
        <v>4.07</v>
      </c>
      <c r="D65" s="4">
        <v>52</v>
      </c>
      <c r="E65" s="5">
        <v>3.27</v>
      </c>
      <c r="F65" s="4">
        <v>99</v>
      </c>
      <c r="G65" s="5">
        <v>4.3</v>
      </c>
      <c r="H65" s="4">
        <v>8</v>
      </c>
    </row>
    <row r="66" spans="1:8" x14ac:dyDescent="0.2">
      <c r="A66" s="1" t="s">
        <v>4</v>
      </c>
      <c r="B66" s="4">
        <v>1541</v>
      </c>
      <c r="C66" s="5">
        <v>100</v>
      </c>
      <c r="D66" s="4">
        <v>636</v>
      </c>
      <c r="E66" s="5">
        <v>100.00000000000001</v>
      </c>
      <c r="F66" s="4">
        <v>875</v>
      </c>
      <c r="G66" s="5">
        <v>100.01</v>
      </c>
      <c r="H66" s="4">
        <v>11</v>
      </c>
    </row>
    <row r="67" spans="1:8" x14ac:dyDescent="0.2">
      <c r="A67" s="2" t="s">
        <v>51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52</v>
      </c>
      <c r="B68" s="4">
        <v>188</v>
      </c>
      <c r="C68" s="5">
        <v>12.2</v>
      </c>
      <c r="D68" s="4">
        <v>42</v>
      </c>
      <c r="E68" s="5">
        <v>6.6</v>
      </c>
      <c r="F68" s="4">
        <v>146</v>
      </c>
      <c r="G68" s="5">
        <v>16.690000000000001</v>
      </c>
      <c r="H68" s="4">
        <v>0</v>
      </c>
    </row>
    <row r="69" spans="1:8" x14ac:dyDescent="0.2">
      <c r="A69" s="2" t="s">
        <v>53</v>
      </c>
      <c r="B69" s="4">
        <v>92</v>
      </c>
      <c r="C69" s="5">
        <v>5.97</v>
      </c>
      <c r="D69" s="4">
        <v>26</v>
      </c>
      <c r="E69" s="5">
        <v>4.09</v>
      </c>
      <c r="F69" s="4">
        <v>66</v>
      </c>
      <c r="G69" s="5">
        <v>7.54</v>
      </c>
      <c r="H69" s="4">
        <v>0</v>
      </c>
    </row>
    <row r="70" spans="1:8" x14ac:dyDescent="0.2">
      <c r="A70" s="2" t="s">
        <v>54</v>
      </c>
      <c r="B70" s="4">
        <v>5</v>
      </c>
      <c r="C70" s="5">
        <v>0.32</v>
      </c>
      <c r="D70" s="4">
        <v>0</v>
      </c>
      <c r="E70" s="5">
        <v>0</v>
      </c>
      <c r="F70" s="4">
        <v>5</v>
      </c>
      <c r="G70" s="5">
        <v>0.56999999999999995</v>
      </c>
      <c r="H70" s="4">
        <v>0</v>
      </c>
    </row>
    <row r="71" spans="1:8" x14ac:dyDescent="0.2">
      <c r="A71" s="2" t="s">
        <v>55</v>
      </c>
      <c r="B71" s="4">
        <v>17</v>
      </c>
      <c r="C71" s="5">
        <v>1.1000000000000001</v>
      </c>
      <c r="D71" s="4">
        <v>0</v>
      </c>
      <c r="E71" s="5">
        <v>0</v>
      </c>
      <c r="F71" s="4">
        <v>17</v>
      </c>
      <c r="G71" s="5">
        <v>1.94</v>
      </c>
      <c r="H71" s="4">
        <v>0</v>
      </c>
    </row>
    <row r="72" spans="1:8" x14ac:dyDescent="0.2">
      <c r="A72" s="2" t="s">
        <v>56</v>
      </c>
      <c r="B72" s="4">
        <v>18</v>
      </c>
      <c r="C72" s="5">
        <v>1.17</v>
      </c>
      <c r="D72" s="4">
        <v>9</v>
      </c>
      <c r="E72" s="5">
        <v>1.42</v>
      </c>
      <c r="F72" s="4">
        <v>9</v>
      </c>
      <c r="G72" s="5">
        <v>1.03</v>
      </c>
      <c r="H72" s="4">
        <v>0</v>
      </c>
    </row>
    <row r="73" spans="1:8" x14ac:dyDescent="0.2">
      <c r="A73" s="2" t="s">
        <v>57</v>
      </c>
      <c r="B73" s="4">
        <v>472</v>
      </c>
      <c r="C73" s="5">
        <v>30.63</v>
      </c>
      <c r="D73" s="4">
        <v>171</v>
      </c>
      <c r="E73" s="5">
        <v>26.89</v>
      </c>
      <c r="F73" s="4">
        <v>301</v>
      </c>
      <c r="G73" s="5">
        <v>34.4</v>
      </c>
      <c r="H73" s="4">
        <v>0</v>
      </c>
    </row>
    <row r="74" spans="1:8" x14ac:dyDescent="0.2">
      <c r="A74" s="2" t="s">
        <v>58</v>
      </c>
      <c r="B74" s="4">
        <v>16</v>
      </c>
      <c r="C74" s="5">
        <v>1.04</v>
      </c>
      <c r="D74" s="4">
        <v>3</v>
      </c>
      <c r="E74" s="5">
        <v>0.47</v>
      </c>
      <c r="F74" s="4">
        <v>13</v>
      </c>
      <c r="G74" s="5">
        <v>1.49</v>
      </c>
      <c r="H74" s="4">
        <v>0</v>
      </c>
    </row>
    <row r="75" spans="1:8" x14ac:dyDescent="0.2">
      <c r="A75" s="2" t="s">
        <v>59</v>
      </c>
      <c r="B75" s="4">
        <v>151</v>
      </c>
      <c r="C75" s="5">
        <v>9.8000000000000007</v>
      </c>
      <c r="D75" s="4">
        <v>42</v>
      </c>
      <c r="E75" s="5">
        <v>6.6</v>
      </c>
      <c r="F75" s="4">
        <v>107</v>
      </c>
      <c r="G75" s="5">
        <v>12.23</v>
      </c>
      <c r="H75" s="4">
        <v>2</v>
      </c>
    </row>
    <row r="76" spans="1:8" x14ac:dyDescent="0.2">
      <c r="A76" s="2" t="s">
        <v>60</v>
      </c>
      <c r="B76" s="4">
        <v>86</v>
      </c>
      <c r="C76" s="5">
        <v>5.58</v>
      </c>
      <c r="D76" s="4">
        <v>35</v>
      </c>
      <c r="E76" s="5">
        <v>5.5</v>
      </c>
      <c r="F76" s="4">
        <v>51</v>
      </c>
      <c r="G76" s="5">
        <v>5.83</v>
      </c>
      <c r="H76" s="4">
        <v>0</v>
      </c>
    </row>
    <row r="77" spans="1:8" x14ac:dyDescent="0.2">
      <c r="A77" s="2" t="s">
        <v>61</v>
      </c>
      <c r="B77" s="4">
        <v>110</v>
      </c>
      <c r="C77" s="5">
        <v>7.14</v>
      </c>
      <c r="D77" s="4">
        <v>74</v>
      </c>
      <c r="E77" s="5">
        <v>11.64</v>
      </c>
      <c r="F77" s="4">
        <v>36</v>
      </c>
      <c r="G77" s="5">
        <v>4.1100000000000003</v>
      </c>
      <c r="H77" s="4">
        <v>0</v>
      </c>
    </row>
    <row r="78" spans="1:8" x14ac:dyDescent="0.2">
      <c r="A78" s="2" t="s">
        <v>62</v>
      </c>
      <c r="B78" s="4">
        <v>198</v>
      </c>
      <c r="C78" s="5">
        <v>12.85</v>
      </c>
      <c r="D78" s="4">
        <v>157</v>
      </c>
      <c r="E78" s="5">
        <v>24.69</v>
      </c>
      <c r="F78" s="4">
        <v>39</v>
      </c>
      <c r="G78" s="5">
        <v>4.46</v>
      </c>
      <c r="H78" s="4">
        <v>0</v>
      </c>
    </row>
    <row r="79" spans="1:8" x14ac:dyDescent="0.2">
      <c r="A79" s="2" t="s">
        <v>63</v>
      </c>
      <c r="B79" s="4">
        <v>38</v>
      </c>
      <c r="C79" s="5">
        <v>2.4700000000000002</v>
      </c>
      <c r="D79" s="4">
        <v>25</v>
      </c>
      <c r="E79" s="5">
        <v>3.93</v>
      </c>
      <c r="F79" s="4">
        <v>11</v>
      </c>
      <c r="G79" s="5">
        <v>1.26</v>
      </c>
      <c r="H79" s="4">
        <v>0</v>
      </c>
    </row>
    <row r="80" spans="1:8" x14ac:dyDescent="0.2">
      <c r="A80" s="2" t="s">
        <v>64</v>
      </c>
      <c r="B80" s="4">
        <v>82</v>
      </c>
      <c r="C80" s="5">
        <v>5.32</v>
      </c>
      <c r="D80" s="4">
        <v>39</v>
      </c>
      <c r="E80" s="5">
        <v>6.13</v>
      </c>
      <c r="F80" s="4">
        <v>30</v>
      </c>
      <c r="G80" s="5">
        <v>3.43</v>
      </c>
      <c r="H80" s="4">
        <v>0</v>
      </c>
    </row>
    <row r="81" spans="1:8" x14ac:dyDescent="0.2">
      <c r="A81" s="2" t="s">
        <v>65</v>
      </c>
      <c r="B81" s="4">
        <v>68</v>
      </c>
      <c r="C81" s="5">
        <v>4.41</v>
      </c>
      <c r="D81" s="4">
        <v>13</v>
      </c>
      <c r="E81" s="5">
        <v>2.04</v>
      </c>
      <c r="F81" s="4">
        <v>44</v>
      </c>
      <c r="G81" s="5">
        <v>5.03</v>
      </c>
      <c r="H81" s="4">
        <v>9</v>
      </c>
    </row>
    <row r="82" spans="1:8" x14ac:dyDescent="0.2">
      <c r="A82" s="1" t="s">
        <v>5</v>
      </c>
      <c r="B82" s="4">
        <v>2453</v>
      </c>
      <c r="C82" s="5">
        <v>99.999999999999986</v>
      </c>
      <c r="D82" s="4">
        <v>995</v>
      </c>
      <c r="E82" s="5">
        <v>99.990000000000009</v>
      </c>
      <c r="F82" s="4">
        <v>1430</v>
      </c>
      <c r="G82" s="5">
        <v>100.00999999999998</v>
      </c>
      <c r="H82" s="4">
        <v>9</v>
      </c>
    </row>
    <row r="83" spans="1:8" x14ac:dyDescent="0.2">
      <c r="A83" s="2" t="s">
        <v>51</v>
      </c>
      <c r="B83" s="4">
        <v>3</v>
      </c>
      <c r="C83" s="5">
        <v>0.12</v>
      </c>
      <c r="D83" s="4">
        <v>0</v>
      </c>
      <c r="E83" s="5">
        <v>0</v>
      </c>
      <c r="F83" s="4">
        <v>3</v>
      </c>
      <c r="G83" s="5">
        <v>0.21</v>
      </c>
      <c r="H83" s="4">
        <v>0</v>
      </c>
    </row>
    <row r="84" spans="1:8" x14ac:dyDescent="0.2">
      <c r="A84" s="2" t="s">
        <v>52</v>
      </c>
      <c r="B84" s="4">
        <v>443</v>
      </c>
      <c r="C84" s="5">
        <v>18.059999999999999</v>
      </c>
      <c r="D84" s="4">
        <v>100</v>
      </c>
      <c r="E84" s="5">
        <v>10.050000000000001</v>
      </c>
      <c r="F84" s="4">
        <v>343</v>
      </c>
      <c r="G84" s="5">
        <v>23.99</v>
      </c>
      <c r="H84" s="4">
        <v>0</v>
      </c>
    </row>
    <row r="85" spans="1:8" x14ac:dyDescent="0.2">
      <c r="A85" s="2" t="s">
        <v>53</v>
      </c>
      <c r="B85" s="4">
        <v>164</v>
      </c>
      <c r="C85" s="5">
        <v>6.69</v>
      </c>
      <c r="D85" s="4">
        <v>47</v>
      </c>
      <c r="E85" s="5">
        <v>4.72</v>
      </c>
      <c r="F85" s="4">
        <v>117</v>
      </c>
      <c r="G85" s="5">
        <v>8.18</v>
      </c>
      <c r="H85" s="4">
        <v>0</v>
      </c>
    </row>
    <row r="86" spans="1:8" x14ac:dyDescent="0.2">
      <c r="A86" s="2" t="s">
        <v>54</v>
      </c>
      <c r="B86" s="4">
        <v>17</v>
      </c>
      <c r="C86" s="5">
        <v>0.69</v>
      </c>
      <c r="D86" s="4">
        <v>0</v>
      </c>
      <c r="E86" s="5">
        <v>0</v>
      </c>
      <c r="F86" s="4">
        <v>17</v>
      </c>
      <c r="G86" s="5">
        <v>1.19</v>
      </c>
      <c r="H86" s="4">
        <v>0</v>
      </c>
    </row>
    <row r="87" spans="1:8" x14ac:dyDescent="0.2">
      <c r="A87" s="2" t="s">
        <v>55</v>
      </c>
      <c r="B87" s="4">
        <v>17</v>
      </c>
      <c r="C87" s="5">
        <v>0.69</v>
      </c>
      <c r="D87" s="4">
        <v>1</v>
      </c>
      <c r="E87" s="5">
        <v>0.1</v>
      </c>
      <c r="F87" s="4">
        <v>16</v>
      </c>
      <c r="G87" s="5">
        <v>1.1200000000000001</v>
      </c>
      <c r="H87" s="4">
        <v>0</v>
      </c>
    </row>
    <row r="88" spans="1:8" x14ac:dyDescent="0.2">
      <c r="A88" s="2" t="s">
        <v>56</v>
      </c>
      <c r="B88" s="4">
        <v>29</v>
      </c>
      <c r="C88" s="5">
        <v>1.18</v>
      </c>
      <c r="D88" s="4">
        <v>14</v>
      </c>
      <c r="E88" s="5">
        <v>1.41</v>
      </c>
      <c r="F88" s="4">
        <v>15</v>
      </c>
      <c r="G88" s="5">
        <v>1.05</v>
      </c>
      <c r="H88" s="4">
        <v>0</v>
      </c>
    </row>
    <row r="89" spans="1:8" x14ac:dyDescent="0.2">
      <c r="A89" s="2" t="s">
        <v>57</v>
      </c>
      <c r="B89" s="4">
        <v>584</v>
      </c>
      <c r="C89" s="5">
        <v>23.81</v>
      </c>
      <c r="D89" s="4">
        <v>203</v>
      </c>
      <c r="E89" s="5">
        <v>20.399999999999999</v>
      </c>
      <c r="F89" s="4">
        <v>379</v>
      </c>
      <c r="G89" s="5">
        <v>26.5</v>
      </c>
      <c r="H89" s="4">
        <v>2</v>
      </c>
    </row>
    <row r="90" spans="1:8" x14ac:dyDescent="0.2">
      <c r="A90" s="2" t="s">
        <v>58</v>
      </c>
      <c r="B90" s="4">
        <v>23</v>
      </c>
      <c r="C90" s="5">
        <v>0.94</v>
      </c>
      <c r="D90" s="4">
        <v>6</v>
      </c>
      <c r="E90" s="5">
        <v>0.6</v>
      </c>
      <c r="F90" s="4">
        <v>17</v>
      </c>
      <c r="G90" s="5">
        <v>1.19</v>
      </c>
      <c r="H90" s="4">
        <v>0</v>
      </c>
    </row>
    <row r="91" spans="1:8" x14ac:dyDescent="0.2">
      <c r="A91" s="2" t="s">
        <v>59</v>
      </c>
      <c r="B91" s="4">
        <v>251</v>
      </c>
      <c r="C91" s="5">
        <v>10.23</v>
      </c>
      <c r="D91" s="4">
        <v>60</v>
      </c>
      <c r="E91" s="5">
        <v>6.03</v>
      </c>
      <c r="F91" s="4">
        <v>190</v>
      </c>
      <c r="G91" s="5">
        <v>13.29</v>
      </c>
      <c r="H91" s="4">
        <v>1</v>
      </c>
    </row>
    <row r="92" spans="1:8" x14ac:dyDescent="0.2">
      <c r="A92" s="2" t="s">
        <v>60</v>
      </c>
      <c r="B92" s="4">
        <v>151</v>
      </c>
      <c r="C92" s="5">
        <v>6.16</v>
      </c>
      <c r="D92" s="4">
        <v>67</v>
      </c>
      <c r="E92" s="5">
        <v>6.73</v>
      </c>
      <c r="F92" s="4">
        <v>82</v>
      </c>
      <c r="G92" s="5">
        <v>5.73</v>
      </c>
      <c r="H92" s="4">
        <v>0</v>
      </c>
    </row>
    <row r="93" spans="1:8" x14ac:dyDescent="0.2">
      <c r="A93" s="2" t="s">
        <v>61</v>
      </c>
      <c r="B93" s="4">
        <v>120</v>
      </c>
      <c r="C93" s="5">
        <v>4.8899999999999997</v>
      </c>
      <c r="D93" s="4">
        <v>85</v>
      </c>
      <c r="E93" s="5">
        <v>8.5399999999999991</v>
      </c>
      <c r="F93" s="4">
        <v>34</v>
      </c>
      <c r="G93" s="5">
        <v>2.38</v>
      </c>
      <c r="H93" s="4">
        <v>0</v>
      </c>
    </row>
    <row r="94" spans="1:8" x14ac:dyDescent="0.2">
      <c r="A94" s="2" t="s">
        <v>62</v>
      </c>
      <c r="B94" s="4">
        <v>303</v>
      </c>
      <c r="C94" s="5">
        <v>12.35</v>
      </c>
      <c r="D94" s="4">
        <v>238</v>
      </c>
      <c r="E94" s="5">
        <v>23.92</v>
      </c>
      <c r="F94" s="4">
        <v>59</v>
      </c>
      <c r="G94" s="5">
        <v>4.13</v>
      </c>
      <c r="H94" s="4">
        <v>0</v>
      </c>
    </row>
    <row r="95" spans="1:8" x14ac:dyDescent="0.2">
      <c r="A95" s="2" t="s">
        <v>63</v>
      </c>
      <c r="B95" s="4">
        <v>91</v>
      </c>
      <c r="C95" s="5">
        <v>3.71</v>
      </c>
      <c r="D95" s="4">
        <v>60</v>
      </c>
      <c r="E95" s="5">
        <v>6.03</v>
      </c>
      <c r="F95" s="4">
        <v>30</v>
      </c>
      <c r="G95" s="5">
        <v>2.1</v>
      </c>
      <c r="H95" s="4">
        <v>0</v>
      </c>
    </row>
    <row r="96" spans="1:8" x14ac:dyDescent="0.2">
      <c r="A96" s="2" t="s">
        <v>64</v>
      </c>
      <c r="B96" s="4">
        <v>118</v>
      </c>
      <c r="C96" s="5">
        <v>4.8099999999999996</v>
      </c>
      <c r="D96" s="4">
        <v>59</v>
      </c>
      <c r="E96" s="5">
        <v>5.93</v>
      </c>
      <c r="F96" s="4">
        <v>50</v>
      </c>
      <c r="G96" s="5">
        <v>3.5</v>
      </c>
      <c r="H96" s="4">
        <v>0</v>
      </c>
    </row>
    <row r="97" spans="1:8" x14ac:dyDescent="0.2">
      <c r="A97" s="2" t="s">
        <v>65</v>
      </c>
      <c r="B97" s="4">
        <v>139</v>
      </c>
      <c r="C97" s="5">
        <v>5.67</v>
      </c>
      <c r="D97" s="4">
        <v>55</v>
      </c>
      <c r="E97" s="5">
        <v>5.53</v>
      </c>
      <c r="F97" s="4">
        <v>78</v>
      </c>
      <c r="G97" s="5">
        <v>5.45</v>
      </c>
      <c r="H97" s="4">
        <v>6</v>
      </c>
    </row>
    <row r="98" spans="1:8" x14ac:dyDescent="0.2">
      <c r="A98" s="1" t="s">
        <v>6</v>
      </c>
      <c r="B98" s="4">
        <v>2377</v>
      </c>
      <c r="C98" s="5">
        <v>99.990000000000023</v>
      </c>
      <c r="D98" s="4">
        <v>1017</v>
      </c>
      <c r="E98" s="5">
        <v>100.00999999999999</v>
      </c>
      <c r="F98" s="4">
        <v>1324</v>
      </c>
      <c r="G98" s="5">
        <v>99.990000000000009</v>
      </c>
      <c r="H98" s="4">
        <v>11</v>
      </c>
    </row>
    <row r="99" spans="1:8" x14ac:dyDescent="0.2">
      <c r="A99" s="2" t="s">
        <v>51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52</v>
      </c>
      <c r="B100" s="4">
        <v>413</v>
      </c>
      <c r="C100" s="5">
        <v>17.37</v>
      </c>
      <c r="D100" s="4">
        <v>82</v>
      </c>
      <c r="E100" s="5">
        <v>8.06</v>
      </c>
      <c r="F100" s="4">
        <v>331</v>
      </c>
      <c r="G100" s="5">
        <v>25</v>
      </c>
      <c r="H100" s="4">
        <v>0</v>
      </c>
    </row>
    <row r="101" spans="1:8" x14ac:dyDescent="0.2">
      <c r="A101" s="2" t="s">
        <v>53</v>
      </c>
      <c r="B101" s="4">
        <v>128</v>
      </c>
      <c r="C101" s="5">
        <v>5.38</v>
      </c>
      <c r="D101" s="4">
        <v>34</v>
      </c>
      <c r="E101" s="5">
        <v>3.34</v>
      </c>
      <c r="F101" s="4">
        <v>94</v>
      </c>
      <c r="G101" s="5">
        <v>7.1</v>
      </c>
      <c r="H101" s="4">
        <v>0</v>
      </c>
    </row>
    <row r="102" spans="1:8" x14ac:dyDescent="0.2">
      <c r="A102" s="2" t="s">
        <v>54</v>
      </c>
      <c r="B102" s="4">
        <v>12</v>
      </c>
      <c r="C102" s="5">
        <v>0.5</v>
      </c>
      <c r="D102" s="4">
        <v>0</v>
      </c>
      <c r="E102" s="5">
        <v>0</v>
      </c>
      <c r="F102" s="4">
        <v>12</v>
      </c>
      <c r="G102" s="5">
        <v>0.91</v>
      </c>
      <c r="H102" s="4">
        <v>0</v>
      </c>
    </row>
    <row r="103" spans="1:8" x14ac:dyDescent="0.2">
      <c r="A103" s="2" t="s">
        <v>55</v>
      </c>
      <c r="B103" s="4">
        <v>20</v>
      </c>
      <c r="C103" s="5">
        <v>0.84</v>
      </c>
      <c r="D103" s="4">
        <v>1</v>
      </c>
      <c r="E103" s="5">
        <v>0.1</v>
      </c>
      <c r="F103" s="4">
        <v>19</v>
      </c>
      <c r="G103" s="5">
        <v>1.44</v>
      </c>
      <c r="H103" s="4">
        <v>0</v>
      </c>
    </row>
    <row r="104" spans="1:8" x14ac:dyDescent="0.2">
      <c r="A104" s="2" t="s">
        <v>56</v>
      </c>
      <c r="B104" s="4">
        <v>24</v>
      </c>
      <c r="C104" s="5">
        <v>1.01</v>
      </c>
      <c r="D104" s="4">
        <v>13</v>
      </c>
      <c r="E104" s="5">
        <v>1.28</v>
      </c>
      <c r="F104" s="4">
        <v>11</v>
      </c>
      <c r="G104" s="5">
        <v>0.83</v>
      </c>
      <c r="H104" s="4">
        <v>0</v>
      </c>
    </row>
    <row r="105" spans="1:8" x14ac:dyDescent="0.2">
      <c r="A105" s="2" t="s">
        <v>57</v>
      </c>
      <c r="B105" s="4">
        <v>509</v>
      </c>
      <c r="C105" s="5">
        <v>21.41</v>
      </c>
      <c r="D105" s="4">
        <v>194</v>
      </c>
      <c r="E105" s="5">
        <v>19.079999999999998</v>
      </c>
      <c r="F105" s="4">
        <v>315</v>
      </c>
      <c r="G105" s="5">
        <v>23.79</v>
      </c>
      <c r="H105" s="4">
        <v>0</v>
      </c>
    </row>
    <row r="106" spans="1:8" x14ac:dyDescent="0.2">
      <c r="A106" s="2" t="s">
        <v>58</v>
      </c>
      <c r="B106" s="4">
        <v>32</v>
      </c>
      <c r="C106" s="5">
        <v>1.35</v>
      </c>
      <c r="D106" s="4">
        <v>8</v>
      </c>
      <c r="E106" s="5">
        <v>0.79</v>
      </c>
      <c r="F106" s="4">
        <v>24</v>
      </c>
      <c r="G106" s="5">
        <v>1.81</v>
      </c>
      <c r="H106" s="4">
        <v>0</v>
      </c>
    </row>
    <row r="107" spans="1:8" x14ac:dyDescent="0.2">
      <c r="A107" s="2" t="s">
        <v>59</v>
      </c>
      <c r="B107" s="4">
        <v>274</v>
      </c>
      <c r="C107" s="5">
        <v>11.53</v>
      </c>
      <c r="D107" s="4">
        <v>73</v>
      </c>
      <c r="E107" s="5">
        <v>7.18</v>
      </c>
      <c r="F107" s="4">
        <v>199</v>
      </c>
      <c r="G107" s="5">
        <v>15.03</v>
      </c>
      <c r="H107" s="4">
        <v>1</v>
      </c>
    </row>
    <row r="108" spans="1:8" x14ac:dyDescent="0.2">
      <c r="A108" s="2" t="s">
        <v>60</v>
      </c>
      <c r="B108" s="4">
        <v>155</v>
      </c>
      <c r="C108" s="5">
        <v>6.52</v>
      </c>
      <c r="D108" s="4">
        <v>77</v>
      </c>
      <c r="E108" s="5">
        <v>7.57</v>
      </c>
      <c r="F108" s="4">
        <v>78</v>
      </c>
      <c r="G108" s="5">
        <v>5.89</v>
      </c>
      <c r="H108" s="4">
        <v>0</v>
      </c>
    </row>
    <row r="109" spans="1:8" x14ac:dyDescent="0.2">
      <c r="A109" s="2" t="s">
        <v>61</v>
      </c>
      <c r="B109" s="4">
        <v>150</v>
      </c>
      <c r="C109" s="5">
        <v>6.31</v>
      </c>
      <c r="D109" s="4">
        <v>113</v>
      </c>
      <c r="E109" s="5">
        <v>11.11</v>
      </c>
      <c r="F109" s="4">
        <v>37</v>
      </c>
      <c r="G109" s="5">
        <v>2.79</v>
      </c>
      <c r="H109" s="4">
        <v>0</v>
      </c>
    </row>
    <row r="110" spans="1:8" x14ac:dyDescent="0.2">
      <c r="A110" s="2" t="s">
        <v>62</v>
      </c>
      <c r="B110" s="4">
        <v>317</v>
      </c>
      <c r="C110" s="5">
        <v>13.34</v>
      </c>
      <c r="D110" s="4">
        <v>241</v>
      </c>
      <c r="E110" s="5">
        <v>23.7</v>
      </c>
      <c r="F110" s="4">
        <v>63</v>
      </c>
      <c r="G110" s="5">
        <v>4.76</v>
      </c>
      <c r="H110" s="4">
        <v>0</v>
      </c>
    </row>
    <row r="111" spans="1:8" x14ac:dyDescent="0.2">
      <c r="A111" s="2" t="s">
        <v>63</v>
      </c>
      <c r="B111" s="4">
        <v>98</v>
      </c>
      <c r="C111" s="5">
        <v>4.12</v>
      </c>
      <c r="D111" s="4">
        <v>71</v>
      </c>
      <c r="E111" s="5">
        <v>6.98</v>
      </c>
      <c r="F111" s="4">
        <v>22</v>
      </c>
      <c r="G111" s="5">
        <v>1.66</v>
      </c>
      <c r="H111" s="4">
        <v>1</v>
      </c>
    </row>
    <row r="112" spans="1:8" x14ac:dyDescent="0.2">
      <c r="A112" s="2" t="s">
        <v>64</v>
      </c>
      <c r="B112" s="4">
        <v>125</v>
      </c>
      <c r="C112" s="5">
        <v>5.26</v>
      </c>
      <c r="D112" s="4">
        <v>66</v>
      </c>
      <c r="E112" s="5">
        <v>6.49</v>
      </c>
      <c r="F112" s="4">
        <v>53</v>
      </c>
      <c r="G112" s="5">
        <v>4</v>
      </c>
      <c r="H112" s="4">
        <v>0</v>
      </c>
    </row>
    <row r="113" spans="1:8" x14ac:dyDescent="0.2">
      <c r="A113" s="2" t="s">
        <v>65</v>
      </c>
      <c r="B113" s="4">
        <v>120</v>
      </c>
      <c r="C113" s="5">
        <v>5.05</v>
      </c>
      <c r="D113" s="4">
        <v>44</v>
      </c>
      <c r="E113" s="5">
        <v>4.33</v>
      </c>
      <c r="F113" s="4">
        <v>66</v>
      </c>
      <c r="G113" s="5">
        <v>4.9800000000000004</v>
      </c>
      <c r="H113" s="4">
        <v>9</v>
      </c>
    </row>
    <row r="114" spans="1:8" x14ac:dyDescent="0.2">
      <c r="A114" s="1" t="s">
        <v>7</v>
      </c>
      <c r="B114" s="4">
        <v>3294</v>
      </c>
      <c r="C114" s="5">
        <v>100.02000000000002</v>
      </c>
      <c r="D114" s="4">
        <v>1840</v>
      </c>
      <c r="E114" s="5">
        <v>99.99</v>
      </c>
      <c r="F114" s="4">
        <v>1399</v>
      </c>
      <c r="G114" s="5">
        <v>100.01000000000003</v>
      </c>
      <c r="H114" s="4">
        <v>37</v>
      </c>
    </row>
    <row r="115" spans="1:8" x14ac:dyDescent="0.2">
      <c r="A115" s="2" t="s">
        <v>51</v>
      </c>
      <c r="B115" s="4">
        <v>1</v>
      </c>
      <c r="C115" s="5">
        <v>0.03</v>
      </c>
      <c r="D115" s="4">
        <v>1</v>
      </c>
      <c r="E115" s="5">
        <v>0.05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52</v>
      </c>
      <c r="B116" s="4">
        <v>431</v>
      </c>
      <c r="C116" s="5">
        <v>13.08</v>
      </c>
      <c r="D116" s="4">
        <v>169</v>
      </c>
      <c r="E116" s="5">
        <v>9.18</v>
      </c>
      <c r="F116" s="4">
        <v>262</v>
      </c>
      <c r="G116" s="5">
        <v>18.73</v>
      </c>
      <c r="H116" s="4">
        <v>0</v>
      </c>
    </row>
    <row r="117" spans="1:8" x14ac:dyDescent="0.2">
      <c r="A117" s="2" t="s">
        <v>53</v>
      </c>
      <c r="B117" s="4">
        <v>212</v>
      </c>
      <c r="C117" s="5">
        <v>6.44</v>
      </c>
      <c r="D117" s="4">
        <v>85</v>
      </c>
      <c r="E117" s="5">
        <v>4.62</v>
      </c>
      <c r="F117" s="4">
        <v>127</v>
      </c>
      <c r="G117" s="5">
        <v>9.08</v>
      </c>
      <c r="H117" s="4">
        <v>0</v>
      </c>
    </row>
    <row r="118" spans="1:8" x14ac:dyDescent="0.2">
      <c r="A118" s="2" t="s">
        <v>54</v>
      </c>
      <c r="B118" s="4">
        <v>14</v>
      </c>
      <c r="C118" s="5">
        <v>0.43</v>
      </c>
      <c r="D118" s="4">
        <v>0</v>
      </c>
      <c r="E118" s="5">
        <v>0</v>
      </c>
      <c r="F118" s="4">
        <v>13</v>
      </c>
      <c r="G118" s="5">
        <v>0.93</v>
      </c>
      <c r="H118" s="4">
        <v>0</v>
      </c>
    </row>
    <row r="119" spans="1:8" x14ac:dyDescent="0.2">
      <c r="A119" s="2" t="s">
        <v>55</v>
      </c>
      <c r="B119" s="4">
        <v>14</v>
      </c>
      <c r="C119" s="5">
        <v>0.43</v>
      </c>
      <c r="D119" s="4">
        <v>1</v>
      </c>
      <c r="E119" s="5">
        <v>0.05</v>
      </c>
      <c r="F119" s="4">
        <v>13</v>
      </c>
      <c r="G119" s="5">
        <v>0.93</v>
      </c>
      <c r="H119" s="4">
        <v>0</v>
      </c>
    </row>
    <row r="120" spans="1:8" x14ac:dyDescent="0.2">
      <c r="A120" s="2" t="s">
        <v>56</v>
      </c>
      <c r="B120" s="4">
        <v>29</v>
      </c>
      <c r="C120" s="5">
        <v>0.88</v>
      </c>
      <c r="D120" s="4">
        <v>2</v>
      </c>
      <c r="E120" s="5">
        <v>0.11</v>
      </c>
      <c r="F120" s="4">
        <v>27</v>
      </c>
      <c r="G120" s="5">
        <v>1.93</v>
      </c>
      <c r="H120" s="4">
        <v>0</v>
      </c>
    </row>
    <row r="121" spans="1:8" x14ac:dyDescent="0.2">
      <c r="A121" s="2" t="s">
        <v>57</v>
      </c>
      <c r="B121" s="4">
        <v>882</v>
      </c>
      <c r="C121" s="5">
        <v>26.78</v>
      </c>
      <c r="D121" s="4">
        <v>403</v>
      </c>
      <c r="E121" s="5">
        <v>21.9</v>
      </c>
      <c r="F121" s="4">
        <v>461</v>
      </c>
      <c r="G121" s="5">
        <v>32.950000000000003</v>
      </c>
      <c r="H121" s="4">
        <v>18</v>
      </c>
    </row>
    <row r="122" spans="1:8" x14ac:dyDescent="0.2">
      <c r="A122" s="2" t="s">
        <v>58</v>
      </c>
      <c r="B122" s="4">
        <v>27</v>
      </c>
      <c r="C122" s="5">
        <v>0.82</v>
      </c>
      <c r="D122" s="4">
        <v>3</v>
      </c>
      <c r="E122" s="5">
        <v>0.16</v>
      </c>
      <c r="F122" s="4">
        <v>24</v>
      </c>
      <c r="G122" s="5">
        <v>1.72</v>
      </c>
      <c r="H122" s="4">
        <v>0</v>
      </c>
    </row>
    <row r="123" spans="1:8" x14ac:dyDescent="0.2">
      <c r="A123" s="2" t="s">
        <v>59</v>
      </c>
      <c r="B123" s="4">
        <v>282</v>
      </c>
      <c r="C123" s="5">
        <v>8.56</v>
      </c>
      <c r="D123" s="4">
        <v>171</v>
      </c>
      <c r="E123" s="5">
        <v>9.2899999999999991</v>
      </c>
      <c r="F123" s="4">
        <v>111</v>
      </c>
      <c r="G123" s="5">
        <v>7.93</v>
      </c>
      <c r="H123" s="4">
        <v>0</v>
      </c>
    </row>
    <row r="124" spans="1:8" x14ac:dyDescent="0.2">
      <c r="A124" s="2" t="s">
        <v>60</v>
      </c>
      <c r="B124" s="4">
        <v>174</v>
      </c>
      <c r="C124" s="5">
        <v>5.28</v>
      </c>
      <c r="D124" s="4">
        <v>95</v>
      </c>
      <c r="E124" s="5">
        <v>5.16</v>
      </c>
      <c r="F124" s="4">
        <v>75</v>
      </c>
      <c r="G124" s="5">
        <v>5.36</v>
      </c>
      <c r="H124" s="4">
        <v>3</v>
      </c>
    </row>
    <row r="125" spans="1:8" x14ac:dyDescent="0.2">
      <c r="A125" s="2" t="s">
        <v>61</v>
      </c>
      <c r="B125" s="4">
        <v>392</v>
      </c>
      <c r="C125" s="5">
        <v>11.9</v>
      </c>
      <c r="D125" s="4">
        <v>337</v>
      </c>
      <c r="E125" s="5">
        <v>18.32</v>
      </c>
      <c r="F125" s="4">
        <v>54</v>
      </c>
      <c r="G125" s="5">
        <v>3.86</v>
      </c>
      <c r="H125" s="4">
        <v>1</v>
      </c>
    </row>
    <row r="126" spans="1:8" x14ac:dyDescent="0.2">
      <c r="A126" s="2" t="s">
        <v>62</v>
      </c>
      <c r="B126" s="4">
        <v>411</v>
      </c>
      <c r="C126" s="5">
        <v>12.48</v>
      </c>
      <c r="D126" s="4">
        <v>338</v>
      </c>
      <c r="E126" s="5">
        <v>18.37</v>
      </c>
      <c r="F126" s="4">
        <v>73</v>
      </c>
      <c r="G126" s="5">
        <v>5.22</v>
      </c>
      <c r="H126" s="4">
        <v>0</v>
      </c>
    </row>
    <row r="127" spans="1:8" x14ac:dyDescent="0.2">
      <c r="A127" s="2" t="s">
        <v>63</v>
      </c>
      <c r="B127" s="4">
        <v>98</v>
      </c>
      <c r="C127" s="5">
        <v>2.98</v>
      </c>
      <c r="D127" s="4">
        <v>78</v>
      </c>
      <c r="E127" s="5">
        <v>4.24</v>
      </c>
      <c r="F127" s="4">
        <v>18</v>
      </c>
      <c r="G127" s="5">
        <v>1.29</v>
      </c>
      <c r="H127" s="4">
        <v>0</v>
      </c>
    </row>
    <row r="128" spans="1:8" x14ac:dyDescent="0.2">
      <c r="A128" s="2" t="s">
        <v>64</v>
      </c>
      <c r="B128" s="4">
        <v>186</v>
      </c>
      <c r="C128" s="5">
        <v>5.65</v>
      </c>
      <c r="D128" s="4">
        <v>98</v>
      </c>
      <c r="E128" s="5">
        <v>5.33</v>
      </c>
      <c r="F128" s="4">
        <v>88</v>
      </c>
      <c r="G128" s="5">
        <v>6.29</v>
      </c>
      <c r="H128" s="4">
        <v>0</v>
      </c>
    </row>
    <row r="129" spans="1:8" x14ac:dyDescent="0.2">
      <c r="A129" s="2" t="s">
        <v>65</v>
      </c>
      <c r="B129" s="4">
        <v>141</v>
      </c>
      <c r="C129" s="5">
        <v>4.28</v>
      </c>
      <c r="D129" s="4">
        <v>59</v>
      </c>
      <c r="E129" s="5">
        <v>3.21</v>
      </c>
      <c r="F129" s="4">
        <v>53</v>
      </c>
      <c r="G129" s="5">
        <v>3.79</v>
      </c>
      <c r="H129" s="4">
        <v>15</v>
      </c>
    </row>
    <row r="130" spans="1:8" x14ac:dyDescent="0.2">
      <c r="A130" s="1" t="s">
        <v>8</v>
      </c>
      <c r="B130" s="4">
        <v>1141</v>
      </c>
      <c r="C130" s="5">
        <v>99.999999999999986</v>
      </c>
      <c r="D130" s="4">
        <v>707</v>
      </c>
      <c r="E130" s="5">
        <v>100.01</v>
      </c>
      <c r="F130" s="4">
        <v>423</v>
      </c>
      <c r="G130" s="5">
        <v>99.99</v>
      </c>
      <c r="H130" s="4">
        <v>1</v>
      </c>
    </row>
    <row r="131" spans="1:8" x14ac:dyDescent="0.2">
      <c r="A131" s="2" t="s">
        <v>51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52</v>
      </c>
      <c r="B132" s="4">
        <v>107</v>
      </c>
      <c r="C132" s="5">
        <v>9.3800000000000008</v>
      </c>
      <c r="D132" s="4">
        <v>47</v>
      </c>
      <c r="E132" s="5">
        <v>6.65</v>
      </c>
      <c r="F132" s="4">
        <v>60</v>
      </c>
      <c r="G132" s="5">
        <v>14.18</v>
      </c>
      <c r="H132" s="4">
        <v>0</v>
      </c>
    </row>
    <row r="133" spans="1:8" x14ac:dyDescent="0.2">
      <c r="A133" s="2" t="s">
        <v>53</v>
      </c>
      <c r="B133" s="4">
        <v>58</v>
      </c>
      <c r="C133" s="5">
        <v>5.08</v>
      </c>
      <c r="D133" s="4">
        <v>28</v>
      </c>
      <c r="E133" s="5">
        <v>3.96</v>
      </c>
      <c r="F133" s="4">
        <v>30</v>
      </c>
      <c r="G133" s="5">
        <v>7.09</v>
      </c>
      <c r="H133" s="4">
        <v>0</v>
      </c>
    </row>
    <row r="134" spans="1:8" x14ac:dyDescent="0.2">
      <c r="A134" s="2" t="s">
        <v>54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55</v>
      </c>
      <c r="B135" s="4">
        <v>10</v>
      </c>
      <c r="C135" s="5">
        <v>0.88</v>
      </c>
      <c r="D135" s="4">
        <v>4</v>
      </c>
      <c r="E135" s="5">
        <v>0.56999999999999995</v>
      </c>
      <c r="F135" s="4">
        <v>6</v>
      </c>
      <c r="G135" s="5">
        <v>1.42</v>
      </c>
      <c r="H135" s="4">
        <v>0</v>
      </c>
    </row>
    <row r="136" spans="1:8" x14ac:dyDescent="0.2">
      <c r="A136" s="2" t="s">
        <v>56</v>
      </c>
      <c r="B136" s="4">
        <v>7</v>
      </c>
      <c r="C136" s="5">
        <v>0.61</v>
      </c>
      <c r="D136" s="4">
        <v>1</v>
      </c>
      <c r="E136" s="5">
        <v>0.14000000000000001</v>
      </c>
      <c r="F136" s="4">
        <v>6</v>
      </c>
      <c r="G136" s="5">
        <v>1.42</v>
      </c>
      <c r="H136" s="4">
        <v>0</v>
      </c>
    </row>
    <row r="137" spans="1:8" x14ac:dyDescent="0.2">
      <c r="A137" s="2" t="s">
        <v>57</v>
      </c>
      <c r="B137" s="4">
        <v>276</v>
      </c>
      <c r="C137" s="5">
        <v>24.19</v>
      </c>
      <c r="D137" s="4">
        <v>138</v>
      </c>
      <c r="E137" s="5">
        <v>19.52</v>
      </c>
      <c r="F137" s="4">
        <v>137</v>
      </c>
      <c r="G137" s="5">
        <v>32.39</v>
      </c>
      <c r="H137" s="4">
        <v>1</v>
      </c>
    </row>
    <row r="138" spans="1:8" x14ac:dyDescent="0.2">
      <c r="A138" s="2" t="s">
        <v>58</v>
      </c>
      <c r="B138" s="4">
        <v>17</v>
      </c>
      <c r="C138" s="5">
        <v>1.49</v>
      </c>
      <c r="D138" s="4">
        <v>3</v>
      </c>
      <c r="E138" s="5">
        <v>0.42</v>
      </c>
      <c r="F138" s="4">
        <v>14</v>
      </c>
      <c r="G138" s="5">
        <v>3.31</v>
      </c>
      <c r="H138" s="4">
        <v>0</v>
      </c>
    </row>
    <row r="139" spans="1:8" x14ac:dyDescent="0.2">
      <c r="A139" s="2" t="s">
        <v>59</v>
      </c>
      <c r="B139" s="4">
        <v>94</v>
      </c>
      <c r="C139" s="5">
        <v>8.24</v>
      </c>
      <c r="D139" s="4">
        <v>52</v>
      </c>
      <c r="E139" s="5">
        <v>7.36</v>
      </c>
      <c r="F139" s="4">
        <v>41</v>
      </c>
      <c r="G139" s="5">
        <v>9.69</v>
      </c>
      <c r="H139" s="4">
        <v>0</v>
      </c>
    </row>
    <row r="140" spans="1:8" x14ac:dyDescent="0.2">
      <c r="A140" s="2" t="s">
        <v>60</v>
      </c>
      <c r="B140" s="4">
        <v>56</v>
      </c>
      <c r="C140" s="5">
        <v>4.91</v>
      </c>
      <c r="D140" s="4">
        <v>30</v>
      </c>
      <c r="E140" s="5">
        <v>4.24</v>
      </c>
      <c r="F140" s="4">
        <v>25</v>
      </c>
      <c r="G140" s="5">
        <v>5.91</v>
      </c>
      <c r="H140" s="4">
        <v>0</v>
      </c>
    </row>
    <row r="141" spans="1:8" x14ac:dyDescent="0.2">
      <c r="A141" s="2" t="s">
        <v>61</v>
      </c>
      <c r="B141" s="4">
        <v>223</v>
      </c>
      <c r="C141" s="5">
        <v>19.54</v>
      </c>
      <c r="D141" s="4">
        <v>192</v>
      </c>
      <c r="E141" s="5">
        <v>27.16</v>
      </c>
      <c r="F141" s="4">
        <v>30</v>
      </c>
      <c r="G141" s="5">
        <v>7.09</v>
      </c>
      <c r="H141" s="4">
        <v>0</v>
      </c>
    </row>
    <row r="142" spans="1:8" x14ac:dyDescent="0.2">
      <c r="A142" s="2" t="s">
        <v>62</v>
      </c>
      <c r="B142" s="4">
        <v>171</v>
      </c>
      <c r="C142" s="5">
        <v>14.99</v>
      </c>
      <c r="D142" s="4">
        <v>137</v>
      </c>
      <c r="E142" s="5">
        <v>19.38</v>
      </c>
      <c r="F142" s="4">
        <v>33</v>
      </c>
      <c r="G142" s="5">
        <v>7.8</v>
      </c>
      <c r="H142" s="4">
        <v>0</v>
      </c>
    </row>
    <row r="143" spans="1:8" x14ac:dyDescent="0.2">
      <c r="A143" s="2" t="s">
        <v>63</v>
      </c>
      <c r="B143" s="4">
        <v>43</v>
      </c>
      <c r="C143" s="5">
        <v>3.77</v>
      </c>
      <c r="D143" s="4">
        <v>33</v>
      </c>
      <c r="E143" s="5">
        <v>4.67</v>
      </c>
      <c r="F143" s="4">
        <v>5</v>
      </c>
      <c r="G143" s="5">
        <v>1.18</v>
      </c>
      <c r="H143" s="4">
        <v>0</v>
      </c>
    </row>
    <row r="144" spans="1:8" x14ac:dyDescent="0.2">
      <c r="A144" s="2" t="s">
        <v>64</v>
      </c>
      <c r="B144" s="4">
        <v>45</v>
      </c>
      <c r="C144" s="5">
        <v>3.94</v>
      </c>
      <c r="D144" s="4">
        <v>30</v>
      </c>
      <c r="E144" s="5">
        <v>4.24</v>
      </c>
      <c r="F144" s="4">
        <v>15</v>
      </c>
      <c r="G144" s="5">
        <v>3.55</v>
      </c>
      <c r="H144" s="4">
        <v>0</v>
      </c>
    </row>
    <row r="145" spans="1:8" x14ac:dyDescent="0.2">
      <c r="A145" s="2" t="s">
        <v>65</v>
      </c>
      <c r="B145" s="4">
        <v>34</v>
      </c>
      <c r="C145" s="5">
        <v>2.98</v>
      </c>
      <c r="D145" s="4">
        <v>12</v>
      </c>
      <c r="E145" s="5">
        <v>1.7</v>
      </c>
      <c r="F145" s="4">
        <v>21</v>
      </c>
      <c r="G145" s="5">
        <v>4.96</v>
      </c>
      <c r="H145" s="4">
        <v>0</v>
      </c>
    </row>
    <row r="146" spans="1:8" x14ac:dyDescent="0.2">
      <c r="A146" s="1" t="s">
        <v>9</v>
      </c>
      <c r="B146" s="4">
        <v>921</v>
      </c>
      <c r="C146" s="5">
        <v>99.99</v>
      </c>
      <c r="D146" s="4">
        <v>505</v>
      </c>
      <c r="E146" s="5">
        <v>100.00999999999999</v>
      </c>
      <c r="F146" s="4">
        <v>405</v>
      </c>
      <c r="G146" s="5">
        <v>100.00999999999999</v>
      </c>
      <c r="H146" s="4">
        <v>3</v>
      </c>
    </row>
    <row r="147" spans="1:8" x14ac:dyDescent="0.2">
      <c r="A147" s="2" t="s">
        <v>51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52</v>
      </c>
      <c r="B148" s="4">
        <v>126</v>
      </c>
      <c r="C148" s="5">
        <v>13.68</v>
      </c>
      <c r="D148" s="4">
        <v>35</v>
      </c>
      <c r="E148" s="5">
        <v>6.93</v>
      </c>
      <c r="F148" s="4">
        <v>91</v>
      </c>
      <c r="G148" s="5">
        <v>22.47</v>
      </c>
      <c r="H148" s="4">
        <v>0</v>
      </c>
    </row>
    <row r="149" spans="1:8" x14ac:dyDescent="0.2">
      <c r="A149" s="2" t="s">
        <v>53</v>
      </c>
      <c r="B149" s="4">
        <v>47</v>
      </c>
      <c r="C149" s="5">
        <v>5.0999999999999996</v>
      </c>
      <c r="D149" s="4">
        <v>15</v>
      </c>
      <c r="E149" s="5">
        <v>2.97</v>
      </c>
      <c r="F149" s="4">
        <v>31</v>
      </c>
      <c r="G149" s="5">
        <v>7.65</v>
      </c>
      <c r="H149" s="4">
        <v>1</v>
      </c>
    </row>
    <row r="150" spans="1:8" x14ac:dyDescent="0.2">
      <c r="A150" s="2" t="s">
        <v>54</v>
      </c>
      <c r="B150" s="4">
        <v>3</v>
      </c>
      <c r="C150" s="5">
        <v>0.33</v>
      </c>
      <c r="D150" s="4">
        <v>0</v>
      </c>
      <c r="E150" s="5">
        <v>0</v>
      </c>
      <c r="F150" s="4">
        <v>3</v>
      </c>
      <c r="G150" s="5">
        <v>0.74</v>
      </c>
      <c r="H150" s="4">
        <v>0</v>
      </c>
    </row>
    <row r="151" spans="1:8" x14ac:dyDescent="0.2">
      <c r="A151" s="2" t="s">
        <v>55</v>
      </c>
      <c r="B151" s="4">
        <v>2</v>
      </c>
      <c r="C151" s="5">
        <v>0.22</v>
      </c>
      <c r="D151" s="4">
        <v>0</v>
      </c>
      <c r="E151" s="5">
        <v>0</v>
      </c>
      <c r="F151" s="4">
        <v>2</v>
      </c>
      <c r="G151" s="5">
        <v>0.49</v>
      </c>
      <c r="H151" s="4">
        <v>0</v>
      </c>
    </row>
    <row r="152" spans="1:8" x14ac:dyDescent="0.2">
      <c r="A152" s="2" t="s">
        <v>56</v>
      </c>
      <c r="B152" s="4">
        <v>9</v>
      </c>
      <c r="C152" s="5">
        <v>0.98</v>
      </c>
      <c r="D152" s="4">
        <v>6</v>
      </c>
      <c r="E152" s="5">
        <v>1.19</v>
      </c>
      <c r="F152" s="4">
        <v>3</v>
      </c>
      <c r="G152" s="5">
        <v>0.74</v>
      </c>
      <c r="H152" s="4">
        <v>0</v>
      </c>
    </row>
    <row r="153" spans="1:8" x14ac:dyDescent="0.2">
      <c r="A153" s="2" t="s">
        <v>57</v>
      </c>
      <c r="B153" s="4">
        <v>252</v>
      </c>
      <c r="C153" s="5">
        <v>27.36</v>
      </c>
      <c r="D153" s="4">
        <v>128</v>
      </c>
      <c r="E153" s="5">
        <v>25.35</v>
      </c>
      <c r="F153" s="4">
        <v>123</v>
      </c>
      <c r="G153" s="5">
        <v>30.37</v>
      </c>
      <c r="H153" s="4">
        <v>1</v>
      </c>
    </row>
    <row r="154" spans="1:8" x14ac:dyDescent="0.2">
      <c r="A154" s="2" t="s">
        <v>58</v>
      </c>
      <c r="B154" s="4">
        <v>5</v>
      </c>
      <c r="C154" s="5">
        <v>0.54</v>
      </c>
      <c r="D154" s="4">
        <v>1</v>
      </c>
      <c r="E154" s="5">
        <v>0.2</v>
      </c>
      <c r="F154" s="4">
        <v>4</v>
      </c>
      <c r="G154" s="5">
        <v>0.99</v>
      </c>
      <c r="H154" s="4">
        <v>0</v>
      </c>
    </row>
    <row r="155" spans="1:8" x14ac:dyDescent="0.2">
      <c r="A155" s="2" t="s">
        <v>59</v>
      </c>
      <c r="B155" s="4">
        <v>57</v>
      </c>
      <c r="C155" s="5">
        <v>6.19</v>
      </c>
      <c r="D155" s="4">
        <v>20</v>
      </c>
      <c r="E155" s="5">
        <v>3.96</v>
      </c>
      <c r="F155" s="4">
        <v>37</v>
      </c>
      <c r="G155" s="5">
        <v>9.14</v>
      </c>
      <c r="H155" s="4">
        <v>0</v>
      </c>
    </row>
    <row r="156" spans="1:8" x14ac:dyDescent="0.2">
      <c r="A156" s="2" t="s">
        <v>60</v>
      </c>
      <c r="B156" s="4">
        <v>30</v>
      </c>
      <c r="C156" s="5">
        <v>3.26</v>
      </c>
      <c r="D156" s="4">
        <v>17</v>
      </c>
      <c r="E156" s="5">
        <v>3.37</v>
      </c>
      <c r="F156" s="4">
        <v>12</v>
      </c>
      <c r="G156" s="5">
        <v>2.96</v>
      </c>
      <c r="H156" s="4">
        <v>1</v>
      </c>
    </row>
    <row r="157" spans="1:8" x14ac:dyDescent="0.2">
      <c r="A157" s="2" t="s">
        <v>61</v>
      </c>
      <c r="B157" s="4">
        <v>88</v>
      </c>
      <c r="C157" s="5">
        <v>9.5500000000000007</v>
      </c>
      <c r="D157" s="4">
        <v>65</v>
      </c>
      <c r="E157" s="5">
        <v>12.87</v>
      </c>
      <c r="F157" s="4">
        <v>22</v>
      </c>
      <c r="G157" s="5">
        <v>5.43</v>
      </c>
      <c r="H157" s="4">
        <v>0</v>
      </c>
    </row>
    <row r="158" spans="1:8" x14ac:dyDescent="0.2">
      <c r="A158" s="2" t="s">
        <v>62</v>
      </c>
      <c r="B158" s="4">
        <v>180</v>
      </c>
      <c r="C158" s="5">
        <v>19.54</v>
      </c>
      <c r="D158" s="4">
        <v>143</v>
      </c>
      <c r="E158" s="5">
        <v>28.32</v>
      </c>
      <c r="F158" s="4">
        <v>37</v>
      </c>
      <c r="G158" s="5">
        <v>9.14</v>
      </c>
      <c r="H158" s="4">
        <v>0</v>
      </c>
    </row>
    <row r="159" spans="1:8" x14ac:dyDescent="0.2">
      <c r="A159" s="2" t="s">
        <v>63</v>
      </c>
      <c r="B159" s="4">
        <v>34</v>
      </c>
      <c r="C159" s="5">
        <v>3.69</v>
      </c>
      <c r="D159" s="4">
        <v>23</v>
      </c>
      <c r="E159" s="5">
        <v>4.55</v>
      </c>
      <c r="F159" s="4">
        <v>8</v>
      </c>
      <c r="G159" s="5">
        <v>1.98</v>
      </c>
      <c r="H159" s="4">
        <v>0</v>
      </c>
    </row>
    <row r="160" spans="1:8" x14ac:dyDescent="0.2">
      <c r="A160" s="2" t="s">
        <v>64</v>
      </c>
      <c r="B160" s="4">
        <v>55</v>
      </c>
      <c r="C160" s="5">
        <v>5.97</v>
      </c>
      <c r="D160" s="4">
        <v>31</v>
      </c>
      <c r="E160" s="5">
        <v>6.14</v>
      </c>
      <c r="F160" s="4">
        <v>21</v>
      </c>
      <c r="G160" s="5">
        <v>5.19</v>
      </c>
      <c r="H160" s="4">
        <v>0</v>
      </c>
    </row>
    <row r="161" spans="1:8" x14ac:dyDescent="0.2">
      <c r="A161" s="2" t="s">
        <v>65</v>
      </c>
      <c r="B161" s="4">
        <v>33</v>
      </c>
      <c r="C161" s="5">
        <v>3.58</v>
      </c>
      <c r="D161" s="4">
        <v>21</v>
      </c>
      <c r="E161" s="5">
        <v>4.16</v>
      </c>
      <c r="F161" s="4">
        <v>11</v>
      </c>
      <c r="G161" s="5">
        <v>2.72</v>
      </c>
      <c r="H161" s="4">
        <v>0</v>
      </c>
    </row>
    <row r="162" spans="1:8" x14ac:dyDescent="0.2">
      <c r="A162" s="1" t="s">
        <v>10</v>
      </c>
      <c r="B162" s="4">
        <v>729</v>
      </c>
      <c r="C162" s="5">
        <v>100.01999999999998</v>
      </c>
      <c r="D162" s="4">
        <v>457</v>
      </c>
      <c r="E162" s="5">
        <v>99.990000000000009</v>
      </c>
      <c r="F162" s="4">
        <v>266</v>
      </c>
      <c r="G162" s="5">
        <v>100.01000000000002</v>
      </c>
      <c r="H162" s="4">
        <v>2</v>
      </c>
    </row>
    <row r="163" spans="1:8" x14ac:dyDescent="0.2">
      <c r="A163" s="2" t="s">
        <v>51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52</v>
      </c>
      <c r="B164" s="4">
        <v>76</v>
      </c>
      <c r="C164" s="5">
        <v>10.43</v>
      </c>
      <c r="D164" s="4">
        <v>31</v>
      </c>
      <c r="E164" s="5">
        <v>6.78</v>
      </c>
      <c r="F164" s="4">
        <v>45</v>
      </c>
      <c r="G164" s="5">
        <v>16.920000000000002</v>
      </c>
      <c r="H164" s="4">
        <v>0</v>
      </c>
    </row>
    <row r="165" spans="1:8" x14ac:dyDescent="0.2">
      <c r="A165" s="2" t="s">
        <v>53</v>
      </c>
      <c r="B165" s="4">
        <v>36</v>
      </c>
      <c r="C165" s="5">
        <v>4.9400000000000004</v>
      </c>
      <c r="D165" s="4">
        <v>15</v>
      </c>
      <c r="E165" s="5">
        <v>3.28</v>
      </c>
      <c r="F165" s="4">
        <v>21</v>
      </c>
      <c r="G165" s="5">
        <v>7.89</v>
      </c>
      <c r="H165" s="4">
        <v>0</v>
      </c>
    </row>
    <row r="166" spans="1:8" x14ac:dyDescent="0.2">
      <c r="A166" s="2" t="s">
        <v>54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2">
      <c r="A167" s="2" t="s">
        <v>55</v>
      </c>
      <c r="B167" s="4">
        <v>7</v>
      </c>
      <c r="C167" s="5">
        <v>0.96</v>
      </c>
      <c r="D167" s="4">
        <v>0</v>
      </c>
      <c r="E167" s="5">
        <v>0</v>
      </c>
      <c r="F167" s="4">
        <v>7</v>
      </c>
      <c r="G167" s="5">
        <v>2.63</v>
      </c>
      <c r="H167" s="4">
        <v>0</v>
      </c>
    </row>
    <row r="168" spans="1:8" x14ac:dyDescent="0.2">
      <c r="A168" s="2" t="s">
        <v>56</v>
      </c>
      <c r="B168" s="4">
        <v>7</v>
      </c>
      <c r="C168" s="5">
        <v>0.96</v>
      </c>
      <c r="D168" s="4">
        <v>2</v>
      </c>
      <c r="E168" s="5">
        <v>0.44</v>
      </c>
      <c r="F168" s="4">
        <v>4</v>
      </c>
      <c r="G168" s="5">
        <v>1.5</v>
      </c>
      <c r="H168" s="4">
        <v>0</v>
      </c>
    </row>
    <row r="169" spans="1:8" x14ac:dyDescent="0.2">
      <c r="A169" s="2" t="s">
        <v>57</v>
      </c>
      <c r="B169" s="4">
        <v>182</v>
      </c>
      <c r="C169" s="5">
        <v>24.97</v>
      </c>
      <c r="D169" s="4">
        <v>92</v>
      </c>
      <c r="E169" s="5">
        <v>20.13</v>
      </c>
      <c r="F169" s="4">
        <v>89</v>
      </c>
      <c r="G169" s="5">
        <v>33.46</v>
      </c>
      <c r="H169" s="4">
        <v>1</v>
      </c>
    </row>
    <row r="170" spans="1:8" x14ac:dyDescent="0.2">
      <c r="A170" s="2" t="s">
        <v>58</v>
      </c>
      <c r="B170" s="4">
        <v>8</v>
      </c>
      <c r="C170" s="5">
        <v>1.1000000000000001</v>
      </c>
      <c r="D170" s="4">
        <v>2</v>
      </c>
      <c r="E170" s="5">
        <v>0.44</v>
      </c>
      <c r="F170" s="4">
        <v>6</v>
      </c>
      <c r="G170" s="5">
        <v>2.2599999999999998</v>
      </c>
      <c r="H170" s="4">
        <v>0</v>
      </c>
    </row>
    <row r="171" spans="1:8" x14ac:dyDescent="0.2">
      <c r="A171" s="2" t="s">
        <v>59</v>
      </c>
      <c r="B171" s="4">
        <v>100</v>
      </c>
      <c r="C171" s="5">
        <v>13.72</v>
      </c>
      <c r="D171" s="4">
        <v>77</v>
      </c>
      <c r="E171" s="5">
        <v>16.850000000000001</v>
      </c>
      <c r="F171" s="4">
        <v>23</v>
      </c>
      <c r="G171" s="5">
        <v>8.65</v>
      </c>
      <c r="H171" s="4">
        <v>0</v>
      </c>
    </row>
    <row r="172" spans="1:8" x14ac:dyDescent="0.2">
      <c r="A172" s="2" t="s">
        <v>60</v>
      </c>
      <c r="B172" s="4">
        <v>30</v>
      </c>
      <c r="C172" s="5">
        <v>4.12</v>
      </c>
      <c r="D172" s="4">
        <v>17</v>
      </c>
      <c r="E172" s="5">
        <v>3.72</v>
      </c>
      <c r="F172" s="4">
        <v>13</v>
      </c>
      <c r="G172" s="5">
        <v>4.8899999999999997</v>
      </c>
      <c r="H172" s="4">
        <v>0</v>
      </c>
    </row>
    <row r="173" spans="1:8" x14ac:dyDescent="0.2">
      <c r="A173" s="2" t="s">
        <v>61</v>
      </c>
      <c r="B173" s="4">
        <v>107</v>
      </c>
      <c r="C173" s="5">
        <v>14.68</v>
      </c>
      <c r="D173" s="4">
        <v>91</v>
      </c>
      <c r="E173" s="5">
        <v>19.91</v>
      </c>
      <c r="F173" s="4">
        <v>16</v>
      </c>
      <c r="G173" s="5">
        <v>6.02</v>
      </c>
      <c r="H173" s="4">
        <v>0</v>
      </c>
    </row>
    <row r="174" spans="1:8" x14ac:dyDescent="0.2">
      <c r="A174" s="2" t="s">
        <v>62</v>
      </c>
      <c r="B174" s="4">
        <v>90</v>
      </c>
      <c r="C174" s="5">
        <v>12.35</v>
      </c>
      <c r="D174" s="4">
        <v>78</v>
      </c>
      <c r="E174" s="5">
        <v>17.07</v>
      </c>
      <c r="F174" s="4">
        <v>12</v>
      </c>
      <c r="G174" s="5">
        <v>4.51</v>
      </c>
      <c r="H174" s="4">
        <v>0</v>
      </c>
    </row>
    <row r="175" spans="1:8" x14ac:dyDescent="0.2">
      <c r="A175" s="2" t="s">
        <v>63</v>
      </c>
      <c r="B175" s="4">
        <v>16</v>
      </c>
      <c r="C175" s="5">
        <v>2.19</v>
      </c>
      <c r="D175" s="4">
        <v>13</v>
      </c>
      <c r="E175" s="5">
        <v>2.84</v>
      </c>
      <c r="F175" s="4">
        <v>2</v>
      </c>
      <c r="G175" s="5">
        <v>0.75</v>
      </c>
      <c r="H175" s="4">
        <v>0</v>
      </c>
    </row>
    <row r="176" spans="1:8" x14ac:dyDescent="0.2">
      <c r="A176" s="2" t="s">
        <v>64</v>
      </c>
      <c r="B176" s="4">
        <v>35</v>
      </c>
      <c r="C176" s="5">
        <v>4.8</v>
      </c>
      <c r="D176" s="4">
        <v>22</v>
      </c>
      <c r="E176" s="5">
        <v>4.8099999999999996</v>
      </c>
      <c r="F176" s="4">
        <v>13</v>
      </c>
      <c r="G176" s="5">
        <v>4.8899999999999997</v>
      </c>
      <c r="H176" s="4">
        <v>0</v>
      </c>
    </row>
    <row r="177" spans="1:8" x14ac:dyDescent="0.2">
      <c r="A177" s="2" t="s">
        <v>65</v>
      </c>
      <c r="B177" s="4">
        <v>35</v>
      </c>
      <c r="C177" s="5">
        <v>4.8</v>
      </c>
      <c r="D177" s="4">
        <v>17</v>
      </c>
      <c r="E177" s="5">
        <v>3.72</v>
      </c>
      <c r="F177" s="4">
        <v>15</v>
      </c>
      <c r="G177" s="5">
        <v>5.64</v>
      </c>
      <c r="H177" s="4">
        <v>1</v>
      </c>
    </row>
    <row r="178" spans="1:8" x14ac:dyDescent="0.2">
      <c r="A178" s="1" t="s">
        <v>11</v>
      </c>
      <c r="B178" s="4">
        <v>1316</v>
      </c>
      <c r="C178" s="5">
        <v>99.990000000000009</v>
      </c>
      <c r="D178" s="4">
        <v>742</v>
      </c>
      <c r="E178" s="5">
        <v>99.980000000000018</v>
      </c>
      <c r="F178" s="4">
        <v>563</v>
      </c>
      <c r="G178" s="5">
        <v>99.990000000000009</v>
      </c>
      <c r="H178" s="4">
        <v>2</v>
      </c>
    </row>
    <row r="179" spans="1:8" x14ac:dyDescent="0.2">
      <c r="A179" s="2" t="s">
        <v>51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52</v>
      </c>
      <c r="B180" s="4">
        <v>187</v>
      </c>
      <c r="C180" s="5">
        <v>14.21</v>
      </c>
      <c r="D180" s="4">
        <v>65</v>
      </c>
      <c r="E180" s="5">
        <v>8.76</v>
      </c>
      <c r="F180" s="4">
        <v>122</v>
      </c>
      <c r="G180" s="5">
        <v>21.67</v>
      </c>
      <c r="H180" s="4">
        <v>0</v>
      </c>
    </row>
    <row r="181" spans="1:8" x14ac:dyDescent="0.2">
      <c r="A181" s="2" t="s">
        <v>53</v>
      </c>
      <c r="B181" s="4">
        <v>79</v>
      </c>
      <c r="C181" s="5">
        <v>6</v>
      </c>
      <c r="D181" s="4">
        <v>29</v>
      </c>
      <c r="E181" s="5">
        <v>3.91</v>
      </c>
      <c r="F181" s="4">
        <v>49</v>
      </c>
      <c r="G181" s="5">
        <v>8.6999999999999993</v>
      </c>
      <c r="H181" s="4">
        <v>1</v>
      </c>
    </row>
    <row r="182" spans="1:8" x14ac:dyDescent="0.2">
      <c r="A182" s="2" t="s">
        <v>54</v>
      </c>
      <c r="B182" s="4">
        <v>8</v>
      </c>
      <c r="C182" s="5">
        <v>0.61</v>
      </c>
      <c r="D182" s="4">
        <v>0</v>
      </c>
      <c r="E182" s="5">
        <v>0</v>
      </c>
      <c r="F182" s="4">
        <v>8</v>
      </c>
      <c r="G182" s="5">
        <v>1.42</v>
      </c>
      <c r="H182" s="4">
        <v>0</v>
      </c>
    </row>
    <row r="183" spans="1:8" x14ac:dyDescent="0.2">
      <c r="A183" s="2" t="s">
        <v>55</v>
      </c>
      <c r="B183" s="4">
        <v>7</v>
      </c>
      <c r="C183" s="5">
        <v>0.53</v>
      </c>
      <c r="D183" s="4">
        <v>0</v>
      </c>
      <c r="E183" s="5">
        <v>0</v>
      </c>
      <c r="F183" s="4">
        <v>7</v>
      </c>
      <c r="G183" s="5">
        <v>1.24</v>
      </c>
      <c r="H183" s="4">
        <v>0</v>
      </c>
    </row>
    <row r="184" spans="1:8" x14ac:dyDescent="0.2">
      <c r="A184" s="2" t="s">
        <v>56</v>
      </c>
      <c r="B184" s="4">
        <v>14</v>
      </c>
      <c r="C184" s="5">
        <v>1.06</v>
      </c>
      <c r="D184" s="4">
        <v>1</v>
      </c>
      <c r="E184" s="5">
        <v>0.13</v>
      </c>
      <c r="F184" s="4">
        <v>13</v>
      </c>
      <c r="G184" s="5">
        <v>2.31</v>
      </c>
      <c r="H184" s="4">
        <v>0</v>
      </c>
    </row>
    <row r="185" spans="1:8" x14ac:dyDescent="0.2">
      <c r="A185" s="2" t="s">
        <v>57</v>
      </c>
      <c r="B185" s="4">
        <v>384</v>
      </c>
      <c r="C185" s="5">
        <v>29.18</v>
      </c>
      <c r="D185" s="4">
        <v>219</v>
      </c>
      <c r="E185" s="5">
        <v>29.51</v>
      </c>
      <c r="F185" s="4">
        <v>165</v>
      </c>
      <c r="G185" s="5">
        <v>29.31</v>
      </c>
      <c r="H185" s="4">
        <v>0</v>
      </c>
    </row>
    <row r="186" spans="1:8" x14ac:dyDescent="0.2">
      <c r="A186" s="2" t="s">
        <v>58</v>
      </c>
      <c r="B186" s="4">
        <v>15</v>
      </c>
      <c r="C186" s="5">
        <v>1.1399999999999999</v>
      </c>
      <c r="D186" s="4">
        <v>7</v>
      </c>
      <c r="E186" s="5">
        <v>0.94</v>
      </c>
      <c r="F186" s="4">
        <v>8</v>
      </c>
      <c r="G186" s="5">
        <v>1.42</v>
      </c>
      <c r="H186" s="4">
        <v>0</v>
      </c>
    </row>
    <row r="187" spans="1:8" x14ac:dyDescent="0.2">
      <c r="A187" s="2" t="s">
        <v>59</v>
      </c>
      <c r="B187" s="4">
        <v>72</v>
      </c>
      <c r="C187" s="5">
        <v>5.47</v>
      </c>
      <c r="D187" s="4">
        <v>32</v>
      </c>
      <c r="E187" s="5">
        <v>4.3099999999999996</v>
      </c>
      <c r="F187" s="4">
        <v>40</v>
      </c>
      <c r="G187" s="5">
        <v>7.1</v>
      </c>
      <c r="H187" s="4">
        <v>0</v>
      </c>
    </row>
    <row r="188" spans="1:8" x14ac:dyDescent="0.2">
      <c r="A188" s="2" t="s">
        <v>60</v>
      </c>
      <c r="B188" s="4">
        <v>63</v>
      </c>
      <c r="C188" s="5">
        <v>4.79</v>
      </c>
      <c r="D188" s="4">
        <v>31</v>
      </c>
      <c r="E188" s="5">
        <v>4.18</v>
      </c>
      <c r="F188" s="4">
        <v>31</v>
      </c>
      <c r="G188" s="5">
        <v>5.51</v>
      </c>
      <c r="H188" s="4">
        <v>0</v>
      </c>
    </row>
    <row r="189" spans="1:8" x14ac:dyDescent="0.2">
      <c r="A189" s="2" t="s">
        <v>61</v>
      </c>
      <c r="B189" s="4">
        <v>148</v>
      </c>
      <c r="C189" s="5">
        <v>11.25</v>
      </c>
      <c r="D189" s="4">
        <v>117</v>
      </c>
      <c r="E189" s="5">
        <v>15.77</v>
      </c>
      <c r="F189" s="4">
        <v>28</v>
      </c>
      <c r="G189" s="5">
        <v>4.97</v>
      </c>
      <c r="H189" s="4">
        <v>0</v>
      </c>
    </row>
    <row r="190" spans="1:8" x14ac:dyDescent="0.2">
      <c r="A190" s="2" t="s">
        <v>62</v>
      </c>
      <c r="B190" s="4">
        <v>191</v>
      </c>
      <c r="C190" s="5">
        <v>14.51</v>
      </c>
      <c r="D190" s="4">
        <v>158</v>
      </c>
      <c r="E190" s="5">
        <v>21.29</v>
      </c>
      <c r="F190" s="4">
        <v>33</v>
      </c>
      <c r="G190" s="5">
        <v>5.86</v>
      </c>
      <c r="H190" s="4">
        <v>0</v>
      </c>
    </row>
    <row r="191" spans="1:8" x14ac:dyDescent="0.2">
      <c r="A191" s="2" t="s">
        <v>63</v>
      </c>
      <c r="B191" s="4">
        <v>29</v>
      </c>
      <c r="C191" s="5">
        <v>2.2000000000000002</v>
      </c>
      <c r="D191" s="4">
        <v>19</v>
      </c>
      <c r="E191" s="5">
        <v>2.56</v>
      </c>
      <c r="F191" s="4">
        <v>6</v>
      </c>
      <c r="G191" s="5">
        <v>1.07</v>
      </c>
      <c r="H191" s="4">
        <v>0</v>
      </c>
    </row>
    <row r="192" spans="1:8" x14ac:dyDescent="0.2">
      <c r="A192" s="2" t="s">
        <v>64</v>
      </c>
      <c r="B192" s="4">
        <v>50</v>
      </c>
      <c r="C192" s="5">
        <v>3.8</v>
      </c>
      <c r="D192" s="4">
        <v>26</v>
      </c>
      <c r="E192" s="5">
        <v>3.5</v>
      </c>
      <c r="F192" s="4">
        <v>24</v>
      </c>
      <c r="G192" s="5">
        <v>4.26</v>
      </c>
      <c r="H192" s="4">
        <v>0</v>
      </c>
    </row>
    <row r="193" spans="1:8" x14ac:dyDescent="0.2">
      <c r="A193" s="2" t="s">
        <v>65</v>
      </c>
      <c r="B193" s="4">
        <v>69</v>
      </c>
      <c r="C193" s="5">
        <v>5.24</v>
      </c>
      <c r="D193" s="4">
        <v>38</v>
      </c>
      <c r="E193" s="5">
        <v>5.12</v>
      </c>
      <c r="F193" s="4">
        <v>29</v>
      </c>
      <c r="G193" s="5">
        <v>5.15</v>
      </c>
      <c r="H193" s="4">
        <v>1</v>
      </c>
    </row>
    <row r="194" spans="1:8" x14ac:dyDescent="0.2">
      <c r="A194" s="1" t="s">
        <v>12</v>
      </c>
      <c r="B194" s="4">
        <v>1234</v>
      </c>
      <c r="C194" s="5">
        <v>99.99</v>
      </c>
      <c r="D194" s="4">
        <v>766</v>
      </c>
      <c r="E194" s="5">
        <v>99.990000000000009</v>
      </c>
      <c r="F194" s="4">
        <v>433</v>
      </c>
      <c r="G194" s="5">
        <v>100.00000000000001</v>
      </c>
      <c r="H194" s="4">
        <v>2</v>
      </c>
    </row>
    <row r="195" spans="1:8" x14ac:dyDescent="0.2">
      <c r="A195" s="2" t="s">
        <v>51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52</v>
      </c>
      <c r="B196" s="4">
        <v>167</v>
      </c>
      <c r="C196" s="5">
        <v>13.53</v>
      </c>
      <c r="D196" s="4">
        <v>59</v>
      </c>
      <c r="E196" s="5">
        <v>7.7</v>
      </c>
      <c r="F196" s="4">
        <v>108</v>
      </c>
      <c r="G196" s="5">
        <v>24.94</v>
      </c>
      <c r="H196" s="4">
        <v>0</v>
      </c>
    </row>
    <row r="197" spans="1:8" x14ac:dyDescent="0.2">
      <c r="A197" s="2" t="s">
        <v>53</v>
      </c>
      <c r="B197" s="4">
        <v>85</v>
      </c>
      <c r="C197" s="5">
        <v>6.89</v>
      </c>
      <c r="D197" s="4">
        <v>38</v>
      </c>
      <c r="E197" s="5">
        <v>4.96</v>
      </c>
      <c r="F197" s="4">
        <v>47</v>
      </c>
      <c r="G197" s="5">
        <v>10.85</v>
      </c>
      <c r="H197" s="4">
        <v>0</v>
      </c>
    </row>
    <row r="198" spans="1:8" x14ac:dyDescent="0.2">
      <c r="A198" s="2" t="s">
        <v>54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55</v>
      </c>
      <c r="B199" s="4">
        <v>3</v>
      </c>
      <c r="C199" s="5">
        <v>0.24</v>
      </c>
      <c r="D199" s="4">
        <v>1</v>
      </c>
      <c r="E199" s="5">
        <v>0.13</v>
      </c>
      <c r="F199" s="4">
        <v>2</v>
      </c>
      <c r="G199" s="5">
        <v>0.46</v>
      </c>
      <c r="H199" s="4">
        <v>0</v>
      </c>
    </row>
    <row r="200" spans="1:8" x14ac:dyDescent="0.2">
      <c r="A200" s="2" t="s">
        <v>56</v>
      </c>
      <c r="B200" s="4">
        <v>14</v>
      </c>
      <c r="C200" s="5">
        <v>1.1299999999999999</v>
      </c>
      <c r="D200" s="4">
        <v>4</v>
      </c>
      <c r="E200" s="5">
        <v>0.52</v>
      </c>
      <c r="F200" s="4">
        <v>9</v>
      </c>
      <c r="G200" s="5">
        <v>2.08</v>
      </c>
      <c r="H200" s="4">
        <v>1</v>
      </c>
    </row>
    <row r="201" spans="1:8" x14ac:dyDescent="0.2">
      <c r="A201" s="2" t="s">
        <v>57</v>
      </c>
      <c r="B201" s="4">
        <v>339</v>
      </c>
      <c r="C201" s="5">
        <v>27.47</v>
      </c>
      <c r="D201" s="4">
        <v>200</v>
      </c>
      <c r="E201" s="5">
        <v>26.11</v>
      </c>
      <c r="F201" s="4">
        <v>139</v>
      </c>
      <c r="G201" s="5">
        <v>32.1</v>
      </c>
      <c r="H201" s="4">
        <v>0</v>
      </c>
    </row>
    <row r="202" spans="1:8" x14ac:dyDescent="0.2">
      <c r="A202" s="2" t="s">
        <v>58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59</v>
      </c>
      <c r="B203" s="4">
        <v>41</v>
      </c>
      <c r="C203" s="5">
        <v>3.32</v>
      </c>
      <c r="D203" s="4">
        <v>20</v>
      </c>
      <c r="E203" s="5">
        <v>2.61</v>
      </c>
      <c r="F203" s="4">
        <v>20</v>
      </c>
      <c r="G203" s="5">
        <v>4.62</v>
      </c>
      <c r="H203" s="4">
        <v>0</v>
      </c>
    </row>
    <row r="204" spans="1:8" x14ac:dyDescent="0.2">
      <c r="A204" s="2" t="s">
        <v>60</v>
      </c>
      <c r="B204" s="4">
        <v>46</v>
      </c>
      <c r="C204" s="5">
        <v>3.73</v>
      </c>
      <c r="D204" s="4">
        <v>24</v>
      </c>
      <c r="E204" s="5">
        <v>3.13</v>
      </c>
      <c r="F204" s="4">
        <v>19</v>
      </c>
      <c r="G204" s="5">
        <v>4.3899999999999997</v>
      </c>
      <c r="H204" s="4">
        <v>0</v>
      </c>
    </row>
    <row r="205" spans="1:8" x14ac:dyDescent="0.2">
      <c r="A205" s="2" t="s">
        <v>61</v>
      </c>
      <c r="B205" s="4">
        <v>201</v>
      </c>
      <c r="C205" s="5">
        <v>16.29</v>
      </c>
      <c r="D205" s="4">
        <v>176</v>
      </c>
      <c r="E205" s="5">
        <v>22.98</v>
      </c>
      <c r="F205" s="4">
        <v>23</v>
      </c>
      <c r="G205" s="5">
        <v>5.31</v>
      </c>
      <c r="H205" s="4">
        <v>0</v>
      </c>
    </row>
    <row r="206" spans="1:8" x14ac:dyDescent="0.2">
      <c r="A206" s="2" t="s">
        <v>62</v>
      </c>
      <c r="B206" s="4">
        <v>182</v>
      </c>
      <c r="C206" s="5">
        <v>14.75</v>
      </c>
      <c r="D206" s="4">
        <v>155</v>
      </c>
      <c r="E206" s="5">
        <v>20.23</v>
      </c>
      <c r="F206" s="4">
        <v>27</v>
      </c>
      <c r="G206" s="5">
        <v>6.24</v>
      </c>
      <c r="H206" s="4">
        <v>0</v>
      </c>
    </row>
    <row r="207" spans="1:8" x14ac:dyDescent="0.2">
      <c r="A207" s="2" t="s">
        <v>63</v>
      </c>
      <c r="B207" s="4">
        <v>27</v>
      </c>
      <c r="C207" s="5">
        <v>2.19</v>
      </c>
      <c r="D207" s="4">
        <v>10</v>
      </c>
      <c r="E207" s="5">
        <v>1.31</v>
      </c>
      <c r="F207" s="4">
        <v>4</v>
      </c>
      <c r="G207" s="5">
        <v>0.92</v>
      </c>
      <c r="H207" s="4">
        <v>0</v>
      </c>
    </row>
    <row r="208" spans="1:8" x14ac:dyDescent="0.2">
      <c r="A208" s="2" t="s">
        <v>64</v>
      </c>
      <c r="B208" s="4">
        <v>67</v>
      </c>
      <c r="C208" s="5">
        <v>5.43</v>
      </c>
      <c r="D208" s="4">
        <v>37</v>
      </c>
      <c r="E208" s="5">
        <v>4.83</v>
      </c>
      <c r="F208" s="4">
        <v>18</v>
      </c>
      <c r="G208" s="5">
        <v>4.16</v>
      </c>
      <c r="H208" s="4">
        <v>0</v>
      </c>
    </row>
    <row r="209" spans="1:8" x14ac:dyDescent="0.2">
      <c r="A209" s="2" t="s">
        <v>65</v>
      </c>
      <c r="B209" s="4">
        <v>62</v>
      </c>
      <c r="C209" s="5">
        <v>5.0199999999999996</v>
      </c>
      <c r="D209" s="4">
        <v>42</v>
      </c>
      <c r="E209" s="5">
        <v>5.48</v>
      </c>
      <c r="F209" s="4">
        <v>17</v>
      </c>
      <c r="G209" s="5">
        <v>3.93</v>
      </c>
      <c r="H209" s="4">
        <v>1</v>
      </c>
    </row>
    <row r="210" spans="1:8" x14ac:dyDescent="0.2">
      <c r="A210" s="1" t="s">
        <v>13</v>
      </c>
      <c r="B210" s="4">
        <v>1070</v>
      </c>
      <c r="C210" s="5">
        <v>100.00999999999999</v>
      </c>
      <c r="D210" s="4">
        <v>577</v>
      </c>
      <c r="E210" s="5">
        <v>100.00999999999999</v>
      </c>
      <c r="F210" s="4">
        <v>480</v>
      </c>
      <c r="G210" s="5">
        <v>100.01</v>
      </c>
      <c r="H210" s="4">
        <v>3</v>
      </c>
    </row>
    <row r="211" spans="1:8" x14ac:dyDescent="0.2">
      <c r="A211" s="2" t="s">
        <v>51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52</v>
      </c>
      <c r="B212" s="4">
        <v>187</v>
      </c>
      <c r="C212" s="5">
        <v>17.48</v>
      </c>
      <c r="D212" s="4">
        <v>65</v>
      </c>
      <c r="E212" s="5">
        <v>11.27</v>
      </c>
      <c r="F212" s="4">
        <v>122</v>
      </c>
      <c r="G212" s="5">
        <v>25.42</v>
      </c>
      <c r="H212" s="4">
        <v>0</v>
      </c>
    </row>
    <row r="213" spans="1:8" x14ac:dyDescent="0.2">
      <c r="A213" s="2" t="s">
        <v>53</v>
      </c>
      <c r="B213" s="4">
        <v>100</v>
      </c>
      <c r="C213" s="5">
        <v>9.35</v>
      </c>
      <c r="D213" s="4">
        <v>30</v>
      </c>
      <c r="E213" s="5">
        <v>5.2</v>
      </c>
      <c r="F213" s="4">
        <v>70</v>
      </c>
      <c r="G213" s="5">
        <v>14.58</v>
      </c>
      <c r="H213" s="4">
        <v>0</v>
      </c>
    </row>
    <row r="214" spans="1:8" x14ac:dyDescent="0.2">
      <c r="A214" s="2" t="s">
        <v>54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55</v>
      </c>
      <c r="B215" s="4">
        <v>4</v>
      </c>
      <c r="C215" s="5">
        <v>0.37</v>
      </c>
      <c r="D215" s="4">
        <v>1</v>
      </c>
      <c r="E215" s="5">
        <v>0.17</v>
      </c>
      <c r="F215" s="4">
        <v>3</v>
      </c>
      <c r="G215" s="5">
        <v>0.63</v>
      </c>
      <c r="H215" s="4">
        <v>0</v>
      </c>
    </row>
    <row r="216" spans="1:8" x14ac:dyDescent="0.2">
      <c r="A216" s="2" t="s">
        <v>56</v>
      </c>
      <c r="B216" s="4">
        <v>11</v>
      </c>
      <c r="C216" s="5">
        <v>1.03</v>
      </c>
      <c r="D216" s="4">
        <v>1</v>
      </c>
      <c r="E216" s="5">
        <v>0.17</v>
      </c>
      <c r="F216" s="4">
        <v>10</v>
      </c>
      <c r="G216" s="5">
        <v>2.08</v>
      </c>
      <c r="H216" s="4">
        <v>0</v>
      </c>
    </row>
    <row r="217" spans="1:8" x14ac:dyDescent="0.2">
      <c r="A217" s="2" t="s">
        <v>57</v>
      </c>
      <c r="B217" s="4">
        <v>262</v>
      </c>
      <c r="C217" s="5">
        <v>24.49</v>
      </c>
      <c r="D217" s="4">
        <v>129</v>
      </c>
      <c r="E217" s="5">
        <v>22.36</v>
      </c>
      <c r="F217" s="4">
        <v>132</v>
      </c>
      <c r="G217" s="5">
        <v>27.5</v>
      </c>
      <c r="H217" s="4">
        <v>1</v>
      </c>
    </row>
    <row r="218" spans="1:8" x14ac:dyDescent="0.2">
      <c r="A218" s="2" t="s">
        <v>58</v>
      </c>
      <c r="B218" s="4">
        <v>7</v>
      </c>
      <c r="C218" s="5">
        <v>0.65</v>
      </c>
      <c r="D218" s="4">
        <v>2</v>
      </c>
      <c r="E218" s="5">
        <v>0.35</v>
      </c>
      <c r="F218" s="4">
        <v>5</v>
      </c>
      <c r="G218" s="5">
        <v>1.04</v>
      </c>
      <c r="H218" s="4">
        <v>0</v>
      </c>
    </row>
    <row r="219" spans="1:8" x14ac:dyDescent="0.2">
      <c r="A219" s="2" t="s">
        <v>59</v>
      </c>
      <c r="B219" s="4">
        <v>43</v>
      </c>
      <c r="C219" s="5">
        <v>4.0199999999999996</v>
      </c>
      <c r="D219" s="4">
        <v>17</v>
      </c>
      <c r="E219" s="5">
        <v>2.95</v>
      </c>
      <c r="F219" s="4">
        <v>25</v>
      </c>
      <c r="G219" s="5">
        <v>5.21</v>
      </c>
      <c r="H219" s="4">
        <v>0</v>
      </c>
    </row>
    <row r="220" spans="1:8" x14ac:dyDescent="0.2">
      <c r="A220" s="2" t="s">
        <v>60</v>
      </c>
      <c r="B220" s="4">
        <v>41</v>
      </c>
      <c r="C220" s="5">
        <v>3.83</v>
      </c>
      <c r="D220" s="4">
        <v>26</v>
      </c>
      <c r="E220" s="5">
        <v>4.51</v>
      </c>
      <c r="F220" s="4">
        <v>15</v>
      </c>
      <c r="G220" s="5">
        <v>3.13</v>
      </c>
      <c r="H220" s="4">
        <v>0</v>
      </c>
    </row>
    <row r="221" spans="1:8" x14ac:dyDescent="0.2">
      <c r="A221" s="2" t="s">
        <v>61</v>
      </c>
      <c r="B221" s="4">
        <v>145</v>
      </c>
      <c r="C221" s="5">
        <v>13.55</v>
      </c>
      <c r="D221" s="4">
        <v>121</v>
      </c>
      <c r="E221" s="5">
        <v>20.97</v>
      </c>
      <c r="F221" s="4">
        <v>24</v>
      </c>
      <c r="G221" s="5">
        <v>5</v>
      </c>
      <c r="H221" s="4">
        <v>0</v>
      </c>
    </row>
    <row r="222" spans="1:8" x14ac:dyDescent="0.2">
      <c r="A222" s="2" t="s">
        <v>62</v>
      </c>
      <c r="B222" s="4">
        <v>135</v>
      </c>
      <c r="C222" s="5">
        <v>12.62</v>
      </c>
      <c r="D222" s="4">
        <v>112</v>
      </c>
      <c r="E222" s="5">
        <v>19.41</v>
      </c>
      <c r="F222" s="4">
        <v>21</v>
      </c>
      <c r="G222" s="5">
        <v>4.38</v>
      </c>
      <c r="H222" s="4">
        <v>0</v>
      </c>
    </row>
    <row r="223" spans="1:8" x14ac:dyDescent="0.2">
      <c r="A223" s="2" t="s">
        <v>63</v>
      </c>
      <c r="B223" s="4">
        <v>32</v>
      </c>
      <c r="C223" s="5">
        <v>2.99</v>
      </c>
      <c r="D223" s="4">
        <v>22</v>
      </c>
      <c r="E223" s="5">
        <v>3.81</v>
      </c>
      <c r="F223" s="4">
        <v>5</v>
      </c>
      <c r="G223" s="5">
        <v>1.04</v>
      </c>
      <c r="H223" s="4">
        <v>1</v>
      </c>
    </row>
    <row r="224" spans="1:8" x14ac:dyDescent="0.2">
      <c r="A224" s="2" t="s">
        <v>64</v>
      </c>
      <c r="B224" s="4">
        <v>58</v>
      </c>
      <c r="C224" s="5">
        <v>5.42</v>
      </c>
      <c r="D224" s="4">
        <v>24</v>
      </c>
      <c r="E224" s="5">
        <v>4.16</v>
      </c>
      <c r="F224" s="4">
        <v>34</v>
      </c>
      <c r="G224" s="5">
        <v>7.08</v>
      </c>
      <c r="H224" s="4">
        <v>0</v>
      </c>
    </row>
    <row r="225" spans="1:8" x14ac:dyDescent="0.2">
      <c r="A225" s="2" t="s">
        <v>65</v>
      </c>
      <c r="B225" s="4">
        <v>45</v>
      </c>
      <c r="C225" s="5">
        <v>4.21</v>
      </c>
      <c r="D225" s="4">
        <v>27</v>
      </c>
      <c r="E225" s="5">
        <v>4.68</v>
      </c>
      <c r="F225" s="4">
        <v>14</v>
      </c>
      <c r="G225" s="5">
        <v>2.92</v>
      </c>
      <c r="H225" s="4">
        <v>1</v>
      </c>
    </row>
    <row r="226" spans="1:8" x14ac:dyDescent="0.2">
      <c r="A226" s="1" t="s">
        <v>14</v>
      </c>
      <c r="B226" s="4">
        <v>764</v>
      </c>
      <c r="C226" s="5">
        <v>99.99</v>
      </c>
      <c r="D226" s="4">
        <v>387</v>
      </c>
      <c r="E226" s="5">
        <v>100</v>
      </c>
      <c r="F226" s="4">
        <v>373</v>
      </c>
      <c r="G226" s="5">
        <v>100.00000000000001</v>
      </c>
      <c r="H226" s="4">
        <v>1</v>
      </c>
    </row>
    <row r="227" spans="1:8" x14ac:dyDescent="0.2">
      <c r="A227" s="2" t="s">
        <v>51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52</v>
      </c>
      <c r="B228" s="4">
        <v>143</v>
      </c>
      <c r="C228" s="5">
        <v>18.72</v>
      </c>
      <c r="D228" s="4">
        <v>49</v>
      </c>
      <c r="E228" s="5">
        <v>12.66</v>
      </c>
      <c r="F228" s="4">
        <v>94</v>
      </c>
      <c r="G228" s="5">
        <v>25.2</v>
      </c>
      <c r="H228" s="4">
        <v>0</v>
      </c>
    </row>
    <row r="229" spans="1:8" x14ac:dyDescent="0.2">
      <c r="A229" s="2" t="s">
        <v>53</v>
      </c>
      <c r="B229" s="4">
        <v>56</v>
      </c>
      <c r="C229" s="5">
        <v>7.33</v>
      </c>
      <c r="D229" s="4">
        <v>15</v>
      </c>
      <c r="E229" s="5">
        <v>3.88</v>
      </c>
      <c r="F229" s="4">
        <v>41</v>
      </c>
      <c r="G229" s="5">
        <v>10.99</v>
      </c>
      <c r="H229" s="4">
        <v>0</v>
      </c>
    </row>
    <row r="230" spans="1:8" x14ac:dyDescent="0.2">
      <c r="A230" s="2" t="s">
        <v>54</v>
      </c>
      <c r="B230" s="4">
        <v>5</v>
      </c>
      <c r="C230" s="5">
        <v>0.65</v>
      </c>
      <c r="D230" s="4">
        <v>0</v>
      </c>
      <c r="E230" s="5">
        <v>0</v>
      </c>
      <c r="F230" s="4">
        <v>4</v>
      </c>
      <c r="G230" s="5">
        <v>1.07</v>
      </c>
      <c r="H230" s="4">
        <v>0</v>
      </c>
    </row>
    <row r="231" spans="1:8" x14ac:dyDescent="0.2">
      <c r="A231" s="2" t="s">
        <v>55</v>
      </c>
      <c r="B231" s="4">
        <v>3</v>
      </c>
      <c r="C231" s="5">
        <v>0.39</v>
      </c>
      <c r="D231" s="4">
        <v>1</v>
      </c>
      <c r="E231" s="5">
        <v>0.26</v>
      </c>
      <c r="F231" s="4">
        <v>2</v>
      </c>
      <c r="G231" s="5">
        <v>0.54</v>
      </c>
      <c r="H231" s="4">
        <v>0</v>
      </c>
    </row>
    <row r="232" spans="1:8" x14ac:dyDescent="0.2">
      <c r="A232" s="2" t="s">
        <v>56</v>
      </c>
      <c r="B232" s="4">
        <v>10</v>
      </c>
      <c r="C232" s="5">
        <v>1.31</v>
      </c>
      <c r="D232" s="4">
        <v>3</v>
      </c>
      <c r="E232" s="5">
        <v>0.78</v>
      </c>
      <c r="F232" s="4">
        <v>7</v>
      </c>
      <c r="G232" s="5">
        <v>1.88</v>
      </c>
      <c r="H232" s="4">
        <v>0</v>
      </c>
    </row>
    <row r="233" spans="1:8" x14ac:dyDescent="0.2">
      <c r="A233" s="2" t="s">
        <v>57</v>
      </c>
      <c r="B233" s="4">
        <v>189</v>
      </c>
      <c r="C233" s="5">
        <v>24.74</v>
      </c>
      <c r="D233" s="4">
        <v>80</v>
      </c>
      <c r="E233" s="5">
        <v>20.67</v>
      </c>
      <c r="F233" s="4">
        <v>109</v>
      </c>
      <c r="G233" s="5">
        <v>29.22</v>
      </c>
      <c r="H233" s="4">
        <v>0</v>
      </c>
    </row>
    <row r="234" spans="1:8" x14ac:dyDescent="0.2">
      <c r="A234" s="2" t="s">
        <v>58</v>
      </c>
      <c r="B234" s="4">
        <v>6</v>
      </c>
      <c r="C234" s="5">
        <v>0.79</v>
      </c>
      <c r="D234" s="4">
        <v>1</v>
      </c>
      <c r="E234" s="5">
        <v>0.26</v>
      </c>
      <c r="F234" s="4">
        <v>5</v>
      </c>
      <c r="G234" s="5">
        <v>1.34</v>
      </c>
      <c r="H234" s="4">
        <v>0</v>
      </c>
    </row>
    <row r="235" spans="1:8" x14ac:dyDescent="0.2">
      <c r="A235" s="2" t="s">
        <v>59</v>
      </c>
      <c r="B235" s="4">
        <v>32</v>
      </c>
      <c r="C235" s="5">
        <v>4.1900000000000004</v>
      </c>
      <c r="D235" s="4">
        <v>10</v>
      </c>
      <c r="E235" s="5">
        <v>2.58</v>
      </c>
      <c r="F235" s="4">
        <v>22</v>
      </c>
      <c r="G235" s="5">
        <v>5.9</v>
      </c>
      <c r="H235" s="4">
        <v>0</v>
      </c>
    </row>
    <row r="236" spans="1:8" x14ac:dyDescent="0.2">
      <c r="A236" s="2" t="s">
        <v>60</v>
      </c>
      <c r="B236" s="4">
        <v>38</v>
      </c>
      <c r="C236" s="5">
        <v>4.97</v>
      </c>
      <c r="D236" s="4">
        <v>22</v>
      </c>
      <c r="E236" s="5">
        <v>5.68</v>
      </c>
      <c r="F236" s="4">
        <v>16</v>
      </c>
      <c r="G236" s="5">
        <v>4.29</v>
      </c>
      <c r="H236" s="4">
        <v>0</v>
      </c>
    </row>
    <row r="237" spans="1:8" x14ac:dyDescent="0.2">
      <c r="A237" s="2" t="s">
        <v>61</v>
      </c>
      <c r="B237" s="4">
        <v>69</v>
      </c>
      <c r="C237" s="5">
        <v>9.0299999999999994</v>
      </c>
      <c r="D237" s="4">
        <v>59</v>
      </c>
      <c r="E237" s="5">
        <v>15.25</v>
      </c>
      <c r="F237" s="4">
        <v>9</v>
      </c>
      <c r="G237" s="5">
        <v>2.41</v>
      </c>
      <c r="H237" s="4">
        <v>0</v>
      </c>
    </row>
    <row r="238" spans="1:8" x14ac:dyDescent="0.2">
      <c r="A238" s="2" t="s">
        <v>62</v>
      </c>
      <c r="B238" s="4">
        <v>115</v>
      </c>
      <c r="C238" s="5">
        <v>15.05</v>
      </c>
      <c r="D238" s="4">
        <v>93</v>
      </c>
      <c r="E238" s="5">
        <v>24.03</v>
      </c>
      <c r="F238" s="4">
        <v>22</v>
      </c>
      <c r="G238" s="5">
        <v>5.9</v>
      </c>
      <c r="H238" s="4">
        <v>0</v>
      </c>
    </row>
    <row r="239" spans="1:8" x14ac:dyDescent="0.2">
      <c r="A239" s="2" t="s">
        <v>63</v>
      </c>
      <c r="B239" s="4">
        <v>24</v>
      </c>
      <c r="C239" s="5">
        <v>3.14</v>
      </c>
      <c r="D239" s="4">
        <v>17</v>
      </c>
      <c r="E239" s="5">
        <v>4.3899999999999997</v>
      </c>
      <c r="F239" s="4">
        <v>7</v>
      </c>
      <c r="G239" s="5">
        <v>1.88</v>
      </c>
      <c r="H239" s="4">
        <v>0</v>
      </c>
    </row>
    <row r="240" spans="1:8" x14ac:dyDescent="0.2">
      <c r="A240" s="2" t="s">
        <v>64</v>
      </c>
      <c r="B240" s="4">
        <v>48</v>
      </c>
      <c r="C240" s="5">
        <v>6.28</v>
      </c>
      <c r="D240" s="4">
        <v>24</v>
      </c>
      <c r="E240" s="5">
        <v>6.2</v>
      </c>
      <c r="F240" s="4">
        <v>24</v>
      </c>
      <c r="G240" s="5">
        <v>6.43</v>
      </c>
      <c r="H240" s="4">
        <v>0</v>
      </c>
    </row>
    <row r="241" spans="1:8" x14ac:dyDescent="0.2">
      <c r="A241" s="2" t="s">
        <v>65</v>
      </c>
      <c r="B241" s="4">
        <v>26</v>
      </c>
      <c r="C241" s="5">
        <v>3.4</v>
      </c>
      <c r="D241" s="4">
        <v>13</v>
      </c>
      <c r="E241" s="5">
        <v>3.36</v>
      </c>
      <c r="F241" s="4">
        <v>11</v>
      </c>
      <c r="G241" s="5">
        <v>2.95</v>
      </c>
      <c r="H241" s="4">
        <v>1</v>
      </c>
    </row>
    <row r="242" spans="1:8" x14ac:dyDescent="0.2">
      <c r="A242" s="1" t="s">
        <v>15</v>
      </c>
      <c r="B242" s="4">
        <v>925</v>
      </c>
      <c r="C242" s="5">
        <v>100.03</v>
      </c>
      <c r="D242" s="4">
        <v>637</v>
      </c>
      <c r="E242" s="5">
        <v>100.00999999999999</v>
      </c>
      <c r="F242" s="4">
        <v>275</v>
      </c>
      <c r="G242" s="5">
        <v>99.999999999999986</v>
      </c>
      <c r="H242" s="4">
        <v>1</v>
      </c>
    </row>
    <row r="243" spans="1:8" x14ac:dyDescent="0.2">
      <c r="A243" s="2" t="s">
        <v>51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52</v>
      </c>
      <c r="B244" s="4">
        <v>160</v>
      </c>
      <c r="C244" s="5">
        <v>17.3</v>
      </c>
      <c r="D244" s="4">
        <v>102</v>
      </c>
      <c r="E244" s="5">
        <v>16.010000000000002</v>
      </c>
      <c r="F244" s="4">
        <v>58</v>
      </c>
      <c r="G244" s="5">
        <v>21.09</v>
      </c>
      <c r="H244" s="4">
        <v>0</v>
      </c>
    </row>
    <row r="245" spans="1:8" x14ac:dyDescent="0.2">
      <c r="A245" s="2" t="s">
        <v>53</v>
      </c>
      <c r="B245" s="4">
        <v>66</v>
      </c>
      <c r="C245" s="5">
        <v>7.14</v>
      </c>
      <c r="D245" s="4">
        <v>35</v>
      </c>
      <c r="E245" s="5">
        <v>5.49</v>
      </c>
      <c r="F245" s="4">
        <v>31</v>
      </c>
      <c r="G245" s="5">
        <v>11.27</v>
      </c>
      <c r="H245" s="4">
        <v>0</v>
      </c>
    </row>
    <row r="246" spans="1:8" x14ac:dyDescent="0.2">
      <c r="A246" s="2" t="s">
        <v>54</v>
      </c>
      <c r="B246" s="4">
        <v>2</v>
      </c>
      <c r="C246" s="5">
        <v>0.22</v>
      </c>
      <c r="D246" s="4">
        <v>0</v>
      </c>
      <c r="E246" s="5">
        <v>0</v>
      </c>
      <c r="F246" s="4">
        <v>1</v>
      </c>
      <c r="G246" s="5">
        <v>0.36</v>
      </c>
      <c r="H246" s="4">
        <v>0</v>
      </c>
    </row>
    <row r="247" spans="1:8" x14ac:dyDescent="0.2">
      <c r="A247" s="2" t="s">
        <v>55</v>
      </c>
      <c r="B247" s="4">
        <v>2</v>
      </c>
      <c r="C247" s="5">
        <v>0.22</v>
      </c>
      <c r="D247" s="4">
        <v>1</v>
      </c>
      <c r="E247" s="5">
        <v>0.16</v>
      </c>
      <c r="F247" s="4">
        <v>1</v>
      </c>
      <c r="G247" s="5">
        <v>0.36</v>
      </c>
      <c r="H247" s="4">
        <v>0</v>
      </c>
    </row>
    <row r="248" spans="1:8" x14ac:dyDescent="0.2">
      <c r="A248" s="2" t="s">
        <v>56</v>
      </c>
      <c r="B248" s="4">
        <v>26</v>
      </c>
      <c r="C248" s="5">
        <v>2.81</v>
      </c>
      <c r="D248" s="4">
        <v>8</v>
      </c>
      <c r="E248" s="5">
        <v>1.26</v>
      </c>
      <c r="F248" s="4">
        <v>18</v>
      </c>
      <c r="G248" s="5">
        <v>6.55</v>
      </c>
      <c r="H248" s="4">
        <v>0</v>
      </c>
    </row>
    <row r="249" spans="1:8" x14ac:dyDescent="0.2">
      <c r="A249" s="2" t="s">
        <v>57</v>
      </c>
      <c r="B249" s="4">
        <v>258</v>
      </c>
      <c r="C249" s="5">
        <v>27.89</v>
      </c>
      <c r="D249" s="4">
        <v>176</v>
      </c>
      <c r="E249" s="5">
        <v>27.63</v>
      </c>
      <c r="F249" s="4">
        <v>82</v>
      </c>
      <c r="G249" s="5">
        <v>29.82</v>
      </c>
      <c r="H249" s="4">
        <v>0</v>
      </c>
    </row>
    <row r="250" spans="1:8" x14ac:dyDescent="0.2">
      <c r="A250" s="2" t="s">
        <v>58</v>
      </c>
      <c r="B250" s="4">
        <v>2</v>
      </c>
      <c r="C250" s="5">
        <v>0.22</v>
      </c>
      <c r="D250" s="4">
        <v>1</v>
      </c>
      <c r="E250" s="5">
        <v>0.16</v>
      </c>
      <c r="F250" s="4">
        <v>1</v>
      </c>
      <c r="G250" s="5">
        <v>0.36</v>
      </c>
      <c r="H250" s="4">
        <v>0</v>
      </c>
    </row>
    <row r="251" spans="1:8" x14ac:dyDescent="0.2">
      <c r="A251" s="2" t="s">
        <v>59</v>
      </c>
      <c r="B251" s="4">
        <v>86</v>
      </c>
      <c r="C251" s="5">
        <v>9.3000000000000007</v>
      </c>
      <c r="D251" s="4">
        <v>66</v>
      </c>
      <c r="E251" s="5">
        <v>10.36</v>
      </c>
      <c r="F251" s="4">
        <v>20</v>
      </c>
      <c r="G251" s="5">
        <v>7.27</v>
      </c>
      <c r="H251" s="4">
        <v>0</v>
      </c>
    </row>
    <row r="252" spans="1:8" x14ac:dyDescent="0.2">
      <c r="A252" s="2" t="s">
        <v>60</v>
      </c>
      <c r="B252" s="4">
        <v>31</v>
      </c>
      <c r="C252" s="5">
        <v>3.35</v>
      </c>
      <c r="D252" s="4">
        <v>17</v>
      </c>
      <c r="E252" s="5">
        <v>2.67</v>
      </c>
      <c r="F252" s="4">
        <v>14</v>
      </c>
      <c r="G252" s="5">
        <v>5.09</v>
      </c>
      <c r="H252" s="4">
        <v>0</v>
      </c>
    </row>
    <row r="253" spans="1:8" x14ac:dyDescent="0.2">
      <c r="A253" s="2" t="s">
        <v>61</v>
      </c>
      <c r="B253" s="4">
        <v>84</v>
      </c>
      <c r="C253" s="5">
        <v>9.08</v>
      </c>
      <c r="D253" s="4">
        <v>69</v>
      </c>
      <c r="E253" s="5">
        <v>10.83</v>
      </c>
      <c r="F253" s="4">
        <v>10</v>
      </c>
      <c r="G253" s="5">
        <v>3.64</v>
      </c>
      <c r="H253" s="4">
        <v>0</v>
      </c>
    </row>
    <row r="254" spans="1:8" x14ac:dyDescent="0.2">
      <c r="A254" s="2" t="s">
        <v>62</v>
      </c>
      <c r="B254" s="4">
        <v>129</v>
      </c>
      <c r="C254" s="5">
        <v>13.95</v>
      </c>
      <c r="D254" s="4">
        <v>111</v>
      </c>
      <c r="E254" s="5">
        <v>17.43</v>
      </c>
      <c r="F254" s="4">
        <v>18</v>
      </c>
      <c r="G254" s="5">
        <v>6.55</v>
      </c>
      <c r="H254" s="4">
        <v>0</v>
      </c>
    </row>
    <row r="255" spans="1:8" x14ac:dyDescent="0.2">
      <c r="A255" s="2" t="s">
        <v>63</v>
      </c>
      <c r="B255" s="4">
        <v>17</v>
      </c>
      <c r="C255" s="5">
        <v>1.84</v>
      </c>
      <c r="D255" s="4">
        <v>12</v>
      </c>
      <c r="E255" s="5">
        <v>1.88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64</v>
      </c>
      <c r="B256" s="4">
        <v>34</v>
      </c>
      <c r="C256" s="5">
        <v>3.68</v>
      </c>
      <c r="D256" s="4">
        <v>21</v>
      </c>
      <c r="E256" s="5">
        <v>3.3</v>
      </c>
      <c r="F256" s="4">
        <v>13</v>
      </c>
      <c r="G256" s="5">
        <v>4.7300000000000004</v>
      </c>
      <c r="H256" s="4">
        <v>0</v>
      </c>
    </row>
    <row r="257" spans="1:8" x14ac:dyDescent="0.2">
      <c r="A257" s="2" t="s">
        <v>65</v>
      </c>
      <c r="B257" s="4">
        <v>28</v>
      </c>
      <c r="C257" s="5">
        <v>3.03</v>
      </c>
      <c r="D257" s="4">
        <v>18</v>
      </c>
      <c r="E257" s="5">
        <v>2.83</v>
      </c>
      <c r="F257" s="4">
        <v>8</v>
      </c>
      <c r="G257" s="5">
        <v>2.91</v>
      </c>
      <c r="H257" s="4">
        <v>1</v>
      </c>
    </row>
    <row r="258" spans="1:8" x14ac:dyDescent="0.2">
      <c r="A258" s="1" t="s">
        <v>16</v>
      </c>
      <c r="B258" s="4">
        <v>1223</v>
      </c>
      <c r="C258" s="5">
        <v>100.00999999999999</v>
      </c>
      <c r="D258" s="4">
        <v>668</v>
      </c>
      <c r="E258" s="5">
        <v>100.00999999999999</v>
      </c>
      <c r="F258" s="4">
        <v>538</v>
      </c>
      <c r="G258" s="5">
        <v>100</v>
      </c>
      <c r="H258" s="4">
        <v>3</v>
      </c>
    </row>
    <row r="259" spans="1:8" x14ac:dyDescent="0.2">
      <c r="A259" s="2" t="s">
        <v>51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52</v>
      </c>
      <c r="B260" s="4">
        <v>197</v>
      </c>
      <c r="C260" s="5">
        <v>16.11</v>
      </c>
      <c r="D260" s="4">
        <v>83</v>
      </c>
      <c r="E260" s="5">
        <v>12.43</v>
      </c>
      <c r="F260" s="4">
        <v>114</v>
      </c>
      <c r="G260" s="5">
        <v>21.19</v>
      </c>
      <c r="H260" s="4">
        <v>0</v>
      </c>
    </row>
    <row r="261" spans="1:8" x14ac:dyDescent="0.2">
      <c r="A261" s="2" t="s">
        <v>53</v>
      </c>
      <c r="B261" s="4">
        <v>67</v>
      </c>
      <c r="C261" s="5">
        <v>5.48</v>
      </c>
      <c r="D261" s="4">
        <v>20</v>
      </c>
      <c r="E261" s="5">
        <v>2.99</v>
      </c>
      <c r="F261" s="4">
        <v>47</v>
      </c>
      <c r="G261" s="5">
        <v>8.74</v>
      </c>
      <c r="H261" s="4">
        <v>0</v>
      </c>
    </row>
    <row r="262" spans="1:8" x14ac:dyDescent="0.2">
      <c r="A262" s="2" t="s">
        <v>54</v>
      </c>
      <c r="B262" s="4">
        <v>4</v>
      </c>
      <c r="C262" s="5">
        <v>0.33</v>
      </c>
      <c r="D262" s="4">
        <v>0</v>
      </c>
      <c r="E262" s="5">
        <v>0</v>
      </c>
      <c r="F262" s="4">
        <v>4</v>
      </c>
      <c r="G262" s="5">
        <v>0.74</v>
      </c>
      <c r="H262" s="4">
        <v>0</v>
      </c>
    </row>
    <row r="263" spans="1:8" x14ac:dyDescent="0.2">
      <c r="A263" s="2" t="s">
        <v>55</v>
      </c>
      <c r="B263" s="4">
        <v>6</v>
      </c>
      <c r="C263" s="5">
        <v>0.49</v>
      </c>
      <c r="D263" s="4">
        <v>0</v>
      </c>
      <c r="E263" s="5">
        <v>0</v>
      </c>
      <c r="F263" s="4">
        <v>6</v>
      </c>
      <c r="G263" s="5">
        <v>1.1200000000000001</v>
      </c>
      <c r="H263" s="4">
        <v>0</v>
      </c>
    </row>
    <row r="264" spans="1:8" x14ac:dyDescent="0.2">
      <c r="A264" s="2" t="s">
        <v>56</v>
      </c>
      <c r="B264" s="4">
        <v>21</v>
      </c>
      <c r="C264" s="5">
        <v>1.72</v>
      </c>
      <c r="D264" s="4">
        <v>5</v>
      </c>
      <c r="E264" s="5">
        <v>0.75</v>
      </c>
      <c r="F264" s="4">
        <v>16</v>
      </c>
      <c r="G264" s="5">
        <v>2.97</v>
      </c>
      <c r="H264" s="4">
        <v>0</v>
      </c>
    </row>
    <row r="265" spans="1:8" x14ac:dyDescent="0.2">
      <c r="A265" s="2" t="s">
        <v>57</v>
      </c>
      <c r="B265" s="4">
        <v>352</v>
      </c>
      <c r="C265" s="5">
        <v>28.78</v>
      </c>
      <c r="D265" s="4">
        <v>182</v>
      </c>
      <c r="E265" s="5">
        <v>27.25</v>
      </c>
      <c r="F265" s="4">
        <v>169</v>
      </c>
      <c r="G265" s="5">
        <v>31.41</v>
      </c>
      <c r="H265" s="4">
        <v>1</v>
      </c>
    </row>
    <row r="266" spans="1:8" x14ac:dyDescent="0.2">
      <c r="A266" s="2" t="s">
        <v>58</v>
      </c>
      <c r="B266" s="4">
        <v>8</v>
      </c>
      <c r="C266" s="5">
        <v>0.65</v>
      </c>
      <c r="D266" s="4">
        <v>1</v>
      </c>
      <c r="E266" s="5">
        <v>0.15</v>
      </c>
      <c r="F266" s="4">
        <v>7</v>
      </c>
      <c r="G266" s="5">
        <v>1.3</v>
      </c>
      <c r="H266" s="4">
        <v>0</v>
      </c>
    </row>
    <row r="267" spans="1:8" x14ac:dyDescent="0.2">
      <c r="A267" s="2" t="s">
        <v>59</v>
      </c>
      <c r="B267" s="4">
        <v>39</v>
      </c>
      <c r="C267" s="5">
        <v>3.19</v>
      </c>
      <c r="D267" s="4">
        <v>10</v>
      </c>
      <c r="E267" s="5">
        <v>1.5</v>
      </c>
      <c r="F267" s="4">
        <v>29</v>
      </c>
      <c r="G267" s="5">
        <v>5.39</v>
      </c>
      <c r="H267" s="4">
        <v>0</v>
      </c>
    </row>
    <row r="268" spans="1:8" x14ac:dyDescent="0.2">
      <c r="A268" s="2" t="s">
        <v>60</v>
      </c>
      <c r="B268" s="4">
        <v>60</v>
      </c>
      <c r="C268" s="5">
        <v>4.91</v>
      </c>
      <c r="D268" s="4">
        <v>25</v>
      </c>
      <c r="E268" s="5">
        <v>3.74</v>
      </c>
      <c r="F268" s="4">
        <v>35</v>
      </c>
      <c r="G268" s="5">
        <v>6.51</v>
      </c>
      <c r="H268" s="4">
        <v>0</v>
      </c>
    </row>
    <row r="269" spans="1:8" x14ac:dyDescent="0.2">
      <c r="A269" s="2" t="s">
        <v>61</v>
      </c>
      <c r="B269" s="4">
        <v>117</v>
      </c>
      <c r="C269" s="5">
        <v>9.57</v>
      </c>
      <c r="D269" s="4">
        <v>92</v>
      </c>
      <c r="E269" s="5">
        <v>13.77</v>
      </c>
      <c r="F269" s="4">
        <v>23</v>
      </c>
      <c r="G269" s="5">
        <v>4.28</v>
      </c>
      <c r="H269" s="4">
        <v>1</v>
      </c>
    </row>
    <row r="270" spans="1:8" x14ac:dyDescent="0.2">
      <c r="A270" s="2" t="s">
        <v>62</v>
      </c>
      <c r="B270" s="4">
        <v>174</v>
      </c>
      <c r="C270" s="5">
        <v>14.23</v>
      </c>
      <c r="D270" s="4">
        <v>140</v>
      </c>
      <c r="E270" s="5">
        <v>20.96</v>
      </c>
      <c r="F270" s="4">
        <v>33</v>
      </c>
      <c r="G270" s="5">
        <v>6.13</v>
      </c>
      <c r="H270" s="4">
        <v>0</v>
      </c>
    </row>
    <row r="271" spans="1:8" x14ac:dyDescent="0.2">
      <c r="A271" s="2" t="s">
        <v>63</v>
      </c>
      <c r="B271" s="4">
        <v>55</v>
      </c>
      <c r="C271" s="5">
        <v>4.5</v>
      </c>
      <c r="D271" s="4">
        <v>38</v>
      </c>
      <c r="E271" s="5">
        <v>5.69</v>
      </c>
      <c r="F271" s="4">
        <v>7</v>
      </c>
      <c r="G271" s="5">
        <v>1.3</v>
      </c>
      <c r="H271" s="4">
        <v>0</v>
      </c>
    </row>
    <row r="272" spans="1:8" x14ac:dyDescent="0.2">
      <c r="A272" s="2" t="s">
        <v>64</v>
      </c>
      <c r="B272" s="4">
        <v>65</v>
      </c>
      <c r="C272" s="5">
        <v>5.31</v>
      </c>
      <c r="D272" s="4">
        <v>40</v>
      </c>
      <c r="E272" s="5">
        <v>5.99</v>
      </c>
      <c r="F272" s="4">
        <v>22</v>
      </c>
      <c r="G272" s="5">
        <v>4.09</v>
      </c>
      <c r="H272" s="4">
        <v>1</v>
      </c>
    </row>
    <row r="273" spans="1:8" x14ac:dyDescent="0.2">
      <c r="A273" s="2" t="s">
        <v>65</v>
      </c>
      <c r="B273" s="4">
        <v>58</v>
      </c>
      <c r="C273" s="5">
        <v>4.74</v>
      </c>
      <c r="D273" s="4">
        <v>32</v>
      </c>
      <c r="E273" s="5">
        <v>4.79</v>
      </c>
      <c r="F273" s="4">
        <v>26</v>
      </c>
      <c r="G273" s="5">
        <v>4.83</v>
      </c>
      <c r="H273" s="4">
        <v>0</v>
      </c>
    </row>
    <row r="274" spans="1:8" x14ac:dyDescent="0.2">
      <c r="A274" s="1" t="s">
        <v>17</v>
      </c>
      <c r="B274" s="4">
        <v>754</v>
      </c>
      <c r="C274" s="5">
        <v>100.01</v>
      </c>
      <c r="D274" s="4">
        <v>432</v>
      </c>
      <c r="E274" s="5">
        <v>99.99</v>
      </c>
      <c r="F274" s="4">
        <v>310</v>
      </c>
      <c r="G274" s="5">
        <v>100.01000000000003</v>
      </c>
      <c r="H274" s="4">
        <v>3</v>
      </c>
    </row>
    <row r="275" spans="1:8" x14ac:dyDescent="0.2">
      <c r="A275" s="2" t="s">
        <v>51</v>
      </c>
      <c r="B275" s="4">
        <v>2</v>
      </c>
      <c r="C275" s="5">
        <v>0.27</v>
      </c>
      <c r="D275" s="4">
        <v>0</v>
      </c>
      <c r="E275" s="5">
        <v>0</v>
      </c>
      <c r="F275" s="4">
        <v>2</v>
      </c>
      <c r="G275" s="5">
        <v>0.65</v>
      </c>
      <c r="H275" s="4">
        <v>0</v>
      </c>
    </row>
    <row r="276" spans="1:8" x14ac:dyDescent="0.2">
      <c r="A276" s="2" t="s">
        <v>52</v>
      </c>
      <c r="B276" s="4">
        <v>94</v>
      </c>
      <c r="C276" s="5">
        <v>12.47</v>
      </c>
      <c r="D276" s="4">
        <v>34</v>
      </c>
      <c r="E276" s="5">
        <v>7.87</v>
      </c>
      <c r="F276" s="4">
        <v>60</v>
      </c>
      <c r="G276" s="5">
        <v>19.350000000000001</v>
      </c>
      <c r="H276" s="4">
        <v>0</v>
      </c>
    </row>
    <row r="277" spans="1:8" x14ac:dyDescent="0.2">
      <c r="A277" s="2" t="s">
        <v>53</v>
      </c>
      <c r="B277" s="4">
        <v>51</v>
      </c>
      <c r="C277" s="5">
        <v>6.76</v>
      </c>
      <c r="D277" s="4">
        <v>20</v>
      </c>
      <c r="E277" s="5">
        <v>4.63</v>
      </c>
      <c r="F277" s="4">
        <v>31</v>
      </c>
      <c r="G277" s="5">
        <v>10</v>
      </c>
      <c r="H277" s="4">
        <v>0</v>
      </c>
    </row>
    <row r="278" spans="1:8" x14ac:dyDescent="0.2">
      <c r="A278" s="2" t="s">
        <v>54</v>
      </c>
      <c r="B278" s="4">
        <v>2</v>
      </c>
      <c r="C278" s="5">
        <v>0.27</v>
      </c>
      <c r="D278" s="4">
        <v>0</v>
      </c>
      <c r="E278" s="5">
        <v>0</v>
      </c>
      <c r="F278" s="4">
        <v>1</v>
      </c>
      <c r="G278" s="5">
        <v>0.32</v>
      </c>
      <c r="H278" s="4">
        <v>0</v>
      </c>
    </row>
    <row r="279" spans="1:8" x14ac:dyDescent="0.2">
      <c r="A279" s="2" t="s">
        <v>55</v>
      </c>
      <c r="B279" s="4">
        <v>4</v>
      </c>
      <c r="C279" s="5">
        <v>0.53</v>
      </c>
      <c r="D279" s="4">
        <v>0</v>
      </c>
      <c r="E279" s="5">
        <v>0</v>
      </c>
      <c r="F279" s="4">
        <v>4</v>
      </c>
      <c r="G279" s="5">
        <v>1.29</v>
      </c>
      <c r="H279" s="4">
        <v>0</v>
      </c>
    </row>
    <row r="280" spans="1:8" x14ac:dyDescent="0.2">
      <c r="A280" s="2" t="s">
        <v>56</v>
      </c>
      <c r="B280" s="4">
        <v>8</v>
      </c>
      <c r="C280" s="5">
        <v>1.06</v>
      </c>
      <c r="D280" s="4">
        <v>0</v>
      </c>
      <c r="E280" s="5">
        <v>0</v>
      </c>
      <c r="F280" s="4">
        <v>7</v>
      </c>
      <c r="G280" s="5">
        <v>2.2599999999999998</v>
      </c>
      <c r="H280" s="4">
        <v>1</v>
      </c>
    </row>
    <row r="281" spans="1:8" x14ac:dyDescent="0.2">
      <c r="A281" s="2" t="s">
        <v>57</v>
      </c>
      <c r="B281" s="4">
        <v>202</v>
      </c>
      <c r="C281" s="5">
        <v>26.79</v>
      </c>
      <c r="D281" s="4">
        <v>108</v>
      </c>
      <c r="E281" s="5">
        <v>25</v>
      </c>
      <c r="F281" s="4">
        <v>93</v>
      </c>
      <c r="G281" s="5">
        <v>30</v>
      </c>
      <c r="H281" s="4">
        <v>1</v>
      </c>
    </row>
    <row r="282" spans="1:8" x14ac:dyDescent="0.2">
      <c r="A282" s="2" t="s">
        <v>58</v>
      </c>
      <c r="B282" s="4">
        <v>4</v>
      </c>
      <c r="C282" s="5">
        <v>0.53</v>
      </c>
      <c r="D282" s="4">
        <v>1</v>
      </c>
      <c r="E282" s="5">
        <v>0.23</v>
      </c>
      <c r="F282" s="4">
        <v>3</v>
      </c>
      <c r="G282" s="5">
        <v>0.97</v>
      </c>
      <c r="H282" s="4">
        <v>0</v>
      </c>
    </row>
    <row r="283" spans="1:8" x14ac:dyDescent="0.2">
      <c r="A283" s="2" t="s">
        <v>59</v>
      </c>
      <c r="B283" s="4">
        <v>16</v>
      </c>
      <c r="C283" s="5">
        <v>2.12</v>
      </c>
      <c r="D283" s="4">
        <v>6</v>
      </c>
      <c r="E283" s="5">
        <v>1.39</v>
      </c>
      <c r="F283" s="4">
        <v>10</v>
      </c>
      <c r="G283" s="5">
        <v>3.23</v>
      </c>
      <c r="H283" s="4">
        <v>0</v>
      </c>
    </row>
    <row r="284" spans="1:8" x14ac:dyDescent="0.2">
      <c r="A284" s="2" t="s">
        <v>60</v>
      </c>
      <c r="B284" s="4">
        <v>40</v>
      </c>
      <c r="C284" s="5">
        <v>5.31</v>
      </c>
      <c r="D284" s="4">
        <v>22</v>
      </c>
      <c r="E284" s="5">
        <v>5.09</v>
      </c>
      <c r="F284" s="4">
        <v>18</v>
      </c>
      <c r="G284" s="5">
        <v>5.81</v>
      </c>
      <c r="H284" s="4">
        <v>0</v>
      </c>
    </row>
    <row r="285" spans="1:8" x14ac:dyDescent="0.2">
      <c r="A285" s="2" t="s">
        <v>61</v>
      </c>
      <c r="B285" s="4">
        <v>153</v>
      </c>
      <c r="C285" s="5">
        <v>20.29</v>
      </c>
      <c r="D285" s="4">
        <v>117</v>
      </c>
      <c r="E285" s="5">
        <v>27.08</v>
      </c>
      <c r="F285" s="4">
        <v>35</v>
      </c>
      <c r="G285" s="5">
        <v>11.29</v>
      </c>
      <c r="H285" s="4">
        <v>0</v>
      </c>
    </row>
    <row r="286" spans="1:8" x14ac:dyDescent="0.2">
      <c r="A286" s="2" t="s">
        <v>62</v>
      </c>
      <c r="B286" s="4">
        <v>92</v>
      </c>
      <c r="C286" s="5">
        <v>12.2</v>
      </c>
      <c r="D286" s="4">
        <v>70</v>
      </c>
      <c r="E286" s="5">
        <v>16.2</v>
      </c>
      <c r="F286" s="4">
        <v>20</v>
      </c>
      <c r="G286" s="5">
        <v>6.45</v>
      </c>
      <c r="H286" s="4">
        <v>0</v>
      </c>
    </row>
    <row r="287" spans="1:8" x14ac:dyDescent="0.2">
      <c r="A287" s="2" t="s">
        <v>63</v>
      </c>
      <c r="B287" s="4">
        <v>19</v>
      </c>
      <c r="C287" s="5">
        <v>2.52</v>
      </c>
      <c r="D287" s="4">
        <v>14</v>
      </c>
      <c r="E287" s="5">
        <v>3.24</v>
      </c>
      <c r="F287" s="4">
        <v>4</v>
      </c>
      <c r="G287" s="5">
        <v>1.29</v>
      </c>
      <c r="H287" s="4">
        <v>1</v>
      </c>
    </row>
    <row r="288" spans="1:8" x14ac:dyDescent="0.2">
      <c r="A288" s="2" t="s">
        <v>64</v>
      </c>
      <c r="B288" s="4">
        <v>27</v>
      </c>
      <c r="C288" s="5">
        <v>3.58</v>
      </c>
      <c r="D288" s="4">
        <v>22</v>
      </c>
      <c r="E288" s="5">
        <v>5.09</v>
      </c>
      <c r="F288" s="4">
        <v>2</v>
      </c>
      <c r="G288" s="5">
        <v>0.65</v>
      </c>
      <c r="H288" s="4">
        <v>0</v>
      </c>
    </row>
    <row r="289" spans="1:8" x14ac:dyDescent="0.2">
      <c r="A289" s="2" t="s">
        <v>65</v>
      </c>
      <c r="B289" s="4">
        <v>40</v>
      </c>
      <c r="C289" s="5">
        <v>5.31</v>
      </c>
      <c r="D289" s="4">
        <v>18</v>
      </c>
      <c r="E289" s="5">
        <v>4.17</v>
      </c>
      <c r="F289" s="4">
        <v>20</v>
      </c>
      <c r="G289" s="5">
        <v>6.45</v>
      </c>
      <c r="H289" s="4">
        <v>0</v>
      </c>
    </row>
    <row r="290" spans="1:8" x14ac:dyDescent="0.2">
      <c r="A290" s="1" t="s">
        <v>18</v>
      </c>
      <c r="B290" s="4">
        <v>2800</v>
      </c>
      <c r="C290" s="5">
        <v>100.01000000000002</v>
      </c>
      <c r="D290" s="4">
        <v>1893</v>
      </c>
      <c r="E290" s="5">
        <v>100</v>
      </c>
      <c r="F290" s="4">
        <v>815</v>
      </c>
      <c r="G290" s="5">
        <v>99.990000000000009</v>
      </c>
      <c r="H290" s="4">
        <v>64</v>
      </c>
    </row>
    <row r="291" spans="1:8" x14ac:dyDescent="0.2">
      <c r="A291" s="2" t="s">
        <v>51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52</v>
      </c>
      <c r="B292" s="4">
        <v>343</v>
      </c>
      <c r="C292" s="5">
        <v>12.25</v>
      </c>
      <c r="D292" s="4">
        <v>200</v>
      </c>
      <c r="E292" s="5">
        <v>10.57</v>
      </c>
      <c r="F292" s="4">
        <v>143</v>
      </c>
      <c r="G292" s="5">
        <v>17.55</v>
      </c>
      <c r="H292" s="4">
        <v>0</v>
      </c>
    </row>
    <row r="293" spans="1:8" x14ac:dyDescent="0.2">
      <c r="A293" s="2" t="s">
        <v>53</v>
      </c>
      <c r="B293" s="4">
        <v>200</v>
      </c>
      <c r="C293" s="5">
        <v>7.14</v>
      </c>
      <c r="D293" s="4">
        <v>129</v>
      </c>
      <c r="E293" s="5">
        <v>6.81</v>
      </c>
      <c r="F293" s="4">
        <v>69</v>
      </c>
      <c r="G293" s="5">
        <v>8.4700000000000006</v>
      </c>
      <c r="H293" s="4">
        <v>2</v>
      </c>
    </row>
    <row r="294" spans="1:8" x14ac:dyDescent="0.2">
      <c r="A294" s="2" t="s">
        <v>54</v>
      </c>
      <c r="B294" s="4">
        <v>5</v>
      </c>
      <c r="C294" s="5">
        <v>0.18</v>
      </c>
      <c r="D294" s="4">
        <v>0</v>
      </c>
      <c r="E294" s="5">
        <v>0</v>
      </c>
      <c r="F294" s="4">
        <v>5</v>
      </c>
      <c r="G294" s="5">
        <v>0.61</v>
      </c>
      <c r="H294" s="4">
        <v>0</v>
      </c>
    </row>
    <row r="295" spans="1:8" x14ac:dyDescent="0.2">
      <c r="A295" s="2" t="s">
        <v>55</v>
      </c>
      <c r="B295" s="4">
        <v>11</v>
      </c>
      <c r="C295" s="5">
        <v>0.39</v>
      </c>
      <c r="D295" s="4">
        <v>3</v>
      </c>
      <c r="E295" s="5">
        <v>0.16</v>
      </c>
      <c r="F295" s="4">
        <v>8</v>
      </c>
      <c r="G295" s="5">
        <v>0.98</v>
      </c>
      <c r="H295" s="4">
        <v>0</v>
      </c>
    </row>
    <row r="296" spans="1:8" x14ac:dyDescent="0.2">
      <c r="A296" s="2" t="s">
        <v>56</v>
      </c>
      <c r="B296" s="4">
        <v>45</v>
      </c>
      <c r="C296" s="5">
        <v>1.61</v>
      </c>
      <c r="D296" s="4">
        <v>24</v>
      </c>
      <c r="E296" s="5">
        <v>1.27</v>
      </c>
      <c r="F296" s="4">
        <v>19</v>
      </c>
      <c r="G296" s="5">
        <v>2.33</v>
      </c>
      <c r="H296" s="4">
        <v>2</v>
      </c>
    </row>
    <row r="297" spans="1:8" x14ac:dyDescent="0.2">
      <c r="A297" s="2" t="s">
        <v>57</v>
      </c>
      <c r="B297" s="4">
        <v>859</v>
      </c>
      <c r="C297" s="5">
        <v>30.68</v>
      </c>
      <c r="D297" s="4">
        <v>555</v>
      </c>
      <c r="E297" s="5">
        <v>29.32</v>
      </c>
      <c r="F297" s="4">
        <v>300</v>
      </c>
      <c r="G297" s="5">
        <v>36.81</v>
      </c>
      <c r="H297" s="4">
        <v>4</v>
      </c>
    </row>
    <row r="298" spans="1:8" x14ac:dyDescent="0.2">
      <c r="A298" s="2" t="s">
        <v>58</v>
      </c>
      <c r="B298" s="4">
        <v>20</v>
      </c>
      <c r="C298" s="5">
        <v>0.71</v>
      </c>
      <c r="D298" s="4">
        <v>5</v>
      </c>
      <c r="E298" s="5">
        <v>0.26</v>
      </c>
      <c r="F298" s="4">
        <v>15</v>
      </c>
      <c r="G298" s="5">
        <v>1.84</v>
      </c>
      <c r="H298" s="4">
        <v>0</v>
      </c>
    </row>
    <row r="299" spans="1:8" x14ac:dyDescent="0.2">
      <c r="A299" s="2" t="s">
        <v>59</v>
      </c>
      <c r="B299" s="4">
        <v>163</v>
      </c>
      <c r="C299" s="5">
        <v>5.82</v>
      </c>
      <c r="D299" s="4">
        <v>92</v>
      </c>
      <c r="E299" s="5">
        <v>4.8600000000000003</v>
      </c>
      <c r="F299" s="4">
        <v>71</v>
      </c>
      <c r="G299" s="5">
        <v>8.7100000000000009</v>
      </c>
      <c r="H299" s="4">
        <v>0</v>
      </c>
    </row>
    <row r="300" spans="1:8" x14ac:dyDescent="0.2">
      <c r="A300" s="2" t="s">
        <v>60</v>
      </c>
      <c r="B300" s="4">
        <v>99</v>
      </c>
      <c r="C300" s="5">
        <v>3.54</v>
      </c>
      <c r="D300" s="4">
        <v>62</v>
      </c>
      <c r="E300" s="5">
        <v>3.28</v>
      </c>
      <c r="F300" s="4">
        <v>36</v>
      </c>
      <c r="G300" s="5">
        <v>4.42</v>
      </c>
      <c r="H300" s="4">
        <v>0</v>
      </c>
    </row>
    <row r="301" spans="1:8" x14ac:dyDescent="0.2">
      <c r="A301" s="2" t="s">
        <v>61</v>
      </c>
      <c r="B301" s="4">
        <v>332</v>
      </c>
      <c r="C301" s="5">
        <v>11.86</v>
      </c>
      <c r="D301" s="4">
        <v>297</v>
      </c>
      <c r="E301" s="5">
        <v>15.69</v>
      </c>
      <c r="F301" s="4">
        <v>30</v>
      </c>
      <c r="G301" s="5">
        <v>3.68</v>
      </c>
      <c r="H301" s="4">
        <v>0</v>
      </c>
    </row>
    <row r="302" spans="1:8" x14ac:dyDescent="0.2">
      <c r="A302" s="2" t="s">
        <v>62</v>
      </c>
      <c r="B302" s="4">
        <v>376</v>
      </c>
      <c r="C302" s="5">
        <v>13.43</v>
      </c>
      <c r="D302" s="4">
        <v>340</v>
      </c>
      <c r="E302" s="5">
        <v>17.96</v>
      </c>
      <c r="F302" s="4">
        <v>33</v>
      </c>
      <c r="G302" s="5">
        <v>4.05</v>
      </c>
      <c r="H302" s="4">
        <v>0</v>
      </c>
    </row>
    <row r="303" spans="1:8" x14ac:dyDescent="0.2">
      <c r="A303" s="2" t="s">
        <v>63</v>
      </c>
      <c r="B303" s="4">
        <v>72</v>
      </c>
      <c r="C303" s="5">
        <v>2.57</v>
      </c>
      <c r="D303" s="4">
        <v>53</v>
      </c>
      <c r="E303" s="5">
        <v>2.8</v>
      </c>
      <c r="F303" s="4">
        <v>5</v>
      </c>
      <c r="G303" s="5">
        <v>0.61</v>
      </c>
      <c r="H303" s="4">
        <v>0</v>
      </c>
    </row>
    <row r="304" spans="1:8" x14ac:dyDescent="0.2">
      <c r="A304" s="2" t="s">
        <v>64</v>
      </c>
      <c r="B304" s="4">
        <v>127</v>
      </c>
      <c r="C304" s="5">
        <v>4.54</v>
      </c>
      <c r="D304" s="4">
        <v>75</v>
      </c>
      <c r="E304" s="5">
        <v>3.96</v>
      </c>
      <c r="F304" s="4">
        <v>50</v>
      </c>
      <c r="G304" s="5">
        <v>6.13</v>
      </c>
      <c r="H304" s="4">
        <v>0</v>
      </c>
    </row>
    <row r="305" spans="1:8" x14ac:dyDescent="0.2">
      <c r="A305" s="2" t="s">
        <v>65</v>
      </c>
      <c r="B305" s="4">
        <v>148</v>
      </c>
      <c r="C305" s="5">
        <v>5.29</v>
      </c>
      <c r="D305" s="4">
        <v>58</v>
      </c>
      <c r="E305" s="5">
        <v>3.06</v>
      </c>
      <c r="F305" s="4">
        <v>31</v>
      </c>
      <c r="G305" s="5">
        <v>3.8</v>
      </c>
      <c r="H305" s="4">
        <v>56</v>
      </c>
    </row>
    <row r="306" spans="1:8" x14ac:dyDescent="0.2">
      <c r="A306" s="1" t="s">
        <v>19</v>
      </c>
      <c r="B306" s="4">
        <v>884</v>
      </c>
      <c r="C306" s="5">
        <v>100.01000000000002</v>
      </c>
      <c r="D306" s="4">
        <v>405</v>
      </c>
      <c r="E306" s="5">
        <v>100.02000000000001</v>
      </c>
      <c r="F306" s="4">
        <v>468</v>
      </c>
      <c r="G306" s="5">
        <v>99.99</v>
      </c>
      <c r="H306" s="4">
        <v>0</v>
      </c>
    </row>
    <row r="307" spans="1:8" x14ac:dyDescent="0.2">
      <c r="A307" s="2" t="s">
        <v>51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52</v>
      </c>
      <c r="B308" s="4">
        <v>157</v>
      </c>
      <c r="C308" s="5">
        <v>17.760000000000002</v>
      </c>
      <c r="D308" s="4">
        <v>30</v>
      </c>
      <c r="E308" s="5">
        <v>7.41</v>
      </c>
      <c r="F308" s="4">
        <v>127</v>
      </c>
      <c r="G308" s="5">
        <v>27.14</v>
      </c>
      <c r="H308" s="4">
        <v>0</v>
      </c>
    </row>
    <row r="309" spans="1:8" x14ac:dyDescent="0.2">
      <c r="A309" s="2" t="s">
        <v>53</v>
      </c>
      <c r="B309" s="4">
        <v>45</v>
      </c>
      <c r="C309" s="5">
        <v>5.09</v>
      </c>
      <c r="D309" s="4">
        <v>11</v>
      </c>
      <c r="E309" s="5">
        <v>2.72</v>
      </c>
      <c r="F309" s="4">
        <v>34</v>
      </c>
      <c r="G309" s="5">
        <v>7.26</v>
      </c>
      <c r="H309" s="4">
        <v>0</v>
      </c>
    </row>
    <row r="310" spans="1:8" x14ac:dyDescent="0.2">
      <c r="A310" s="2" t="s">
        <v>54</v>
      </c>
      <c r="B310" s="4">
        <v>5</v>
      </c>
      <c r="C310" s="5">
        <v>0.56999999999999995</v>
      </c>
      <c r="D310" s="4">
        <v>0</v>
      </c>
      <c r="E310" s="5">
        <v>0</v>
      </c>
      <c r="F310" s="4">
        <v>5</v>
      </c>
      <c r="G310" s="5">
        <v>1.07</v>
      </c>
      <c r="H310" s="4">
        <v>0</v>
      </c>
    </row>
    <row r="311" spans="1:8" x14ac:dyDescent="0.2">
      <c r="A311" s="2" t="s">
        <v>55</v>
      </c>
      <c r="B311" s="4">
        <v>9</v>
      </c>
      <c r="C311" s="5">
        <v>1.02</v>
      </c>
      <c r="D311" s="4">
        <v>3</v>
      </c>
      <c r="E311" s="5">
        <v>0.74</v>
      </c>
      <c r="F311" s="4">
        <v>6</v>
      </c>
      <c r="G311" s="5">
        <v>1.28</v>
      </c>
      <c r="H311" s="4">
        <v>0</v>
      </c>
    </row>
    <row r="312" spans="1:8" x14ac:dyDescent="0.2">
      <c r="A312" s="2" t="s">
        <v>56</v>
      </c>
      <c r="B312" s="4">
        <v>9</v>
      </c>
      <c r="C312" s="5">
        <v>1.02</v>
      </c>
      <c r="D312" s="4">
        <v>6</v>
      </c>
      <c r="E312" s="5">
        <v>1.48</v>
      </c>
      <c r="F312" s="4">
        <v>3</v>
      </c>
      <c r="G312" s="5">
        <v>0.64</v>
      </c>
      <c r="H312" s="4">
        <v>0</v>
      </c>
    </row>
    <row r="313" spans="1:8" x14ac:dyDescent="0.2">
      <c r="A313" s="2" t="s">
        <v>57</v>
      </c>
      <c r="B313" s="4">
        <v>208</v>
      </c>
      <c r="C313" s="5">
        <v>23.53</v>
      </c>
      <c r="D313" s="4">
        <v>83</v>
      </c>
      <c r="E313" s="5">
        <v>20.49</v>
      </c>
      <c r="F313" s="4">
        <v>125</v>
      </c>
      <c r="G313" s="5">
        <v>26.71</v>
      </c>
      <c r="H313" s="4">
        <v>0</v>
      </c>
    </row>
    <row r="314" spans="1:8" x14ac:dyDescent="0.2">
      <c r="A314" s="2" t="s">
        <v>58</v>
      </c>
      <c r="B314" s="4">
        <v>9</v>
      </c>
      <c r="C314" s="5">
        <v>1.02</v>
      </c>
      <c r="D314" s="4">
        <v>0</v>
      </c>
      <c r="E314" s="5">
        <v>0</v>
      </c>
      <c r="F314" s="4">
        <v>9</v>
      </c>
      <c r="G314" s="5">
        <v>1.92</v>
      </c>
      <c r="H314" s="4">
        <v>0</v>
      </c>
    </row>
    <row r="315" spans="1:8" x14ac:dyDescent="0.2">
      <c r="A315" s="2" t="s">
        <v>59</v>
      </c>
      <c r="B315" s="4">
        <v>52</v>
      </c>
      <c r="C315" s="5">
        <v>5.88</v>
      </c>
      <c r="D315" s="4">
        <v>4</v>
      </c>
      <c r="E315" s="5">
        <v>0.99</v>
      </c>
      <c r="F315" s="4">
        <v>48</v>
      </c>
      <c r="G315" s="5">
        <v>10.26</v>
      </c>
      <c r="H315" s="4">
        <v>0</v>
      </c>
    </row>
    <row r="316" spans="1:8" x14ac:dyDescent="0.2">
      <c r="A316" s="2" t="s">
        <v>60</v>
      </c>
      <c r="B316" s="4">
        <v>39</v>
      </c>
      <c r="C316" s="5">
        <v>4.41</v>
      </c>
      <c r="D316" s="4">
        <v>17</v>
      </c>
      <c r="E316" s="5">
        <v>4.2</v>
      </c>
      <c r="F316" s="4">
        <v>22</v>
      </c>
      <c r="G316" s="5">
        <v>4.7</v>
      </c>
      <c r="H316" s="4">
        <v>0</v>
      </c>
    </row>
    <row r="317" spans="1:8" x14ac:dyDescent="0.2">
      <c r="A317" s="2" t="s">
        <v>61</v>
      </c>
      <c r="B317" s="4">
        <v>70</v>
      </c>
      <c r="C317" s="5">
        <v>7.92</v>
      </c>
      <c r="D317" s="4">
        <v>58</v>
      </c>
      <c r="E317" s="5">
        <v>14.32</v>
      </c>
      <c r="F317" s="4">
        <v>12</v>
      </c>
      <c r="G317" s="5">
        <v>2.56</v>
      </c>
      <c r="H317" s="4">
        <v>0</v>
      </c>
    </row>
    <row r="318" spans="1:8" x14ac:dyDescent="0.2">
      <c r="A318" s="2" t="s">
        <v>62</v>
      </c>
      <c r="B318" s="4">
        <v>125</v>
      </c>
      <c r="C318" s="5">
        <v>14.14</v>
      </c>
      <c r="D318" s="4">
        <v>102</v>
      </c>
      <c r="E318" s="5">
        <v>25.19</v>
      </c>
      <c r="F318" s="4">
        <v>23</v>
      </c>
      <c r="G318" s="5">
        <v>4.91</v>
      </c>
      <c r="H318" s="4">
        <v>0</v>
      </c>
    </row>
    <row r="319" spans="1:8" x14ac:dyDescent="0.2">
      <c r="A319" s="2" t="s">
        <v>63</v>
      </c>
      <c r="B319" s="4">
        <v>54</v>
      </c>
      <c r="C319" s="5">
        <v>6.11</v>
      </c>
      <c r="D319" s="4">
        <v>37</v>
      </c>
      <c r="E319" s="5">
        <v>9.14</v>
      </c>
      <c r="F319" s="4">
        <v>13</v>
      </c>
      <c r="G319" s="5">
        <v>2.78</v>
      </c>
      <c r="H319" s="4">
        <v>0</v>
      </c>
    </row>
    <row r="320" spans="1:8" x14ac:dyDescent="0.2">
      <c r="A320" s="2" t="s">
        <v>64</v>
      </c>
      <c r="B320" s="4">
        <v>60</v>
      </c>
      <c r="C320" s="5">
        <v>6.79</v>
      </c>
      <c r="D320" s="4">
        <v>34</v>
      </c>
      <c r="E320" s="5">
        <v>8.4</v>
      </c>
      <c r="F320" s="4">
        <v>23</v>
      </c>
      <c r="G320" s="5">
        <v>4.91</v>
      </c>
      <c r="H320" s="4">
        <v>0</v>
      </c>
    </row>
    <row r="321" spans="1:8" x14ac:dyDescent="0.2">
      <c r="A321" s="2" t="s">
        <v>65</v>
      </c>
      <c r="B321" s="4">
        <v>42</v>
      </c>
      <c r="C321" s="5">
        <v>4.75</v>
      </c>
      <c r="D321" s="4">
        <v>20</v>
      </c>
      <c r="E321" s="5">
        <v>4.9400000000000004</v>
      </c>
      <c r="F321" s="4">
        <v>18</v>
      </c>
      <c r="G321" s="5">
        <v>3.85</v>
      </c>
      <c r="H321" s="4">
        <v>0</v>
      </c>
    </row>
    <row r="322" spans="1:8" x14ac:dyDescent="0.2">
      <c r="A322" s="1" t="s">
        <v>20</v>
      </c>
      <c r="B322" s="4">
        <v>224</v>
      </c>
      <c r="C322" s="5">
        <v>100.01999999999998</v>
      </c>
      <c r="D322" s="4">
        <v>145</v>
      </c>
      <c r="E322" s="5">
        <v>100.01</v>
      </c>
      <c r="F322" s="4">
        <v>76</v>
      </c>
      <c r="G322" s="5">
        <v>100.01</v>
      </c>
      <c r="H322" s="4">
        <v>1</v>
      </c>
    </row>
    <row r="323" spans="1:8" x14ac:dyDescent="0.2">
      <c r="A323" s="2" t="s">
        <v>51</v>
      </c>
      <c r="B323" s="4">
        <v>1</v>
      </c>
      <c r="C323" s="5">
        <v>0.45</v>
      </c>
      <c r="D323" s="4">
        <v>1</v>
      </c>
      <c r="E323" s="5">
        <v>0.69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52</v>
      </c>
      <c r="B324" s="4">
        <v>51</v>
      </c>
      <c r="C324" s="5">
        <v>22.77</v>
      </c>
      <c r="D324" s="4">
        <v>28</v>
      </c>
      <c r="E324" s="5">
        <v>19.309999999999999</v>
      </c>
      <c r="F324" s="4">
        <v>23</v>
      </c>
      <c r="G324" s="5">
        <v>30.26</v>
      </c>
      <c r="H324" s="4">
        <v>0</v>
      </c>
    </row>
    <row r="325" spans="1:8" x14ac:dyDescent="0.2">
      <c r="A325" s="2" t="s">
        <v>53</v>
      </c>
      <c r="B325" s="4">
        <v>24</v>
      </c>
      <c r="C325" s="5">
        <v>10.71</v>
      </c>
      <c r="D325" s="4">
        <v>12</v>
      </c>
      <c r="E325" s="5">
        <v>8.2799999999999994</v>
      </c>
      <c r="F325" s="4">
        <v>12</v>
      </c>
      <c r="G325" s="5">
        <v>15.79</v>
      </c>
      <c r="H325" s="4">
        <v>0</v>
      </c>
    </row>
    <row r="326" spans="1:8" x14ac:dyDescent="0.2">
      <c r="A326" s="2" t="s">
        <v>54</v>
      </c>
      <c r="B326" s="4">
        <v>4</v>
      </c>
      <c r="C326" s="5">
        <v>1.79</v>
      </c>
      <c r="D326" s="4">
        <v>0</v>
      </c>
      <c r="E326" s="5">
        <v>0</v>
      </c>
      <c r="F326" s="4">
        <v>2</v>
      </c>
      <c r="G326" s="5">
        <v>2.63</v>
      </c>
      <c r="H326" s="4">
        <v>0</v>
      </c>
    </row>
    <row r="327" spans="1:8" x14ac:dyDescent="0.2">
      <c r="A327" s="2" t="s">
        <v>55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56</v>
      </c>
      <c r="B328" s="4">
        <v>4</v>
      </c>
      <c r="C328" s="5">
        <v>1.79</v>
      </c>
      <c r="D328" s="4">
        <v>1</v>
      </c>
      <c r="E328" s="5">
        <v>0.69</v>
      </c>
      <c r="F328" s="4">
        <v>3</v>
      </c>
      <c r="G328" s="5">
        <v>3.95</v>
      </c>
      <c r="H328" s="4">
        <v>0</v>
      </c>
    </row>
    <row r="329" spans="1:8" x14ac:dyDescent="0.2">
      <c r="A329" s="2" t="s">
        <v>57</v>
      </c>
      <c r="B329" s="4">
        <v>57</v>
      </c>
      <c r="C329" s="5">
        <v>25.45</v>
      </c>
      <c r="D329" s="4">
        <v>35</v>
      </c>
      <c r="E329" s="5">
        <v>24.14</v>
      </c>
      <c r="F329" s="4">
        <v>21</v>
      </c>
      <c r="G329" s="5">
        <v>27.63</v>
      </c>
      <c r="H329" s="4">
        <v>1</v>
      </c>
    </row>
    <row r="330" spans="1:8" x14ac:dyDescent="0.2">
      <c r="A330" s="2" t="s">
        <v>58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59</v>
      </c>
      <c r="B331" s="4">
        <v>2</v>
      </c>
      <c r="C331" s="5">
        <v>0.89</v>
      </c>
      <c r="D331" s="4">
        <v>2</v>
      </c>
      <c r="E331" s="5">
        <v>1.38</v>
      </c>
      <c r="F331" s="4">
        <v>0</v>
      </c>
      <c r="G331" s="5">
        <v>0</v>
      </c>
      <c r="H331" s="4">
        <v>0</v>
      </c>
    </row>
    <row r="332" spans="1:8" x14ac:dyDescent="0.2">
      <c r="A332" s="2" t="s">
        <v>60</v>
      </c>
      <c r="B332" s="4">
        <v>8</v>
      </c>
      <c r="C332" s="5">
        <v>3.57</v>
      </c>
      <c r="D332" s="4">
        <v>5</v>
      </c>
      <c r="E332" s="5">
        <v>3.45</v>
      </c>
      <c r="F332" s="4">
        <v>3</v>
      </c>
      <c r="G332" s="5">
        <v>3.95</v>
      </c>
      <c r="H332" s="4">
        <v>0</v>
      </c>
    </row>
    <row r="333" spans="1:8" x14ac:dyDescent="0.2">
      <c r="A333" s="2" t="s">
        <v>61</v>
      </c>
      <c r="B333" s="4">
        <v>21</v>
      </c>
      <c r="C333" s="5">
        <v>9.3800000000000008</v>
      </c>
      <c r="D333" s="4">
        <v>16</v>
      </c>
      <c r="E333" s="5">
        <v>11.03</v>
      </c>
      <c r="F333" s="4">
        <v>5</v>
      </c>
      <c r="G333" s="5">
        <v>6.58</v>
      </c>
      <c r="H333" s="4">
        <v>0</v>
      </c>
    </row>
    <row r="334" spans="1:8" x14ac:dyDescent="0.2">
      <c r="A334" s="2" t="s">
        <v>62</v>
      </c>
      <c r="B334" s="4">
        <v>31</v>
      </c>
      <c r="C334" s="5">
        <v>13.84</v>
      </c>
      <c r="D334" s="4">
        <v>30</v>
      </c>
      <c r="E334" s="5">
        <v>20.69</v>
      </c>
      <c r="F334" s="4">
        <v>1</v>
      </c>
      <c r="G334" s="5">
        <v>1.32</v>
      </c>
      <c r="H334" s="4">
        <v>0</v>
      </c>
    </row>
    <row r="335" spans="1:8" x14ac:dyDescent="0.2">
      <c r="A335" s="2" t="s">
        <v>63</v>
      </c>
      <c r="B335" s="4">
        <v>4</v>
      </c>
      <c r="C335" s="5">
        <v>1.79</v>
      </c>
      <c r="D335" s="4">
        <v>4</v>
      </c>
      <c r="E335" s="5">
        <v>2.76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64</v>
      </c>
      <c r="B336" s="4">
        <v>8</v>
      </c>
      <c r="C336" s="5">
        <v>3.57</v>
      </c>
      <c r="D336" s="4">
        <v>5</v>
      </c>
      <c r="E336" s="5">
        <v>3.45</v>
      </c>
      <c r="F336" s="4">
        <v>3</v>
      </c>
      <c r="G336" s="5">
        <v>3.95</v>
      </c>
      <c r="H336" s="4">
        <v>0</v>
      </c>
    </row>
    <row r="337" spans="1:8" x14ac:dyDescent="0.2">
      <c r="A337" s="2" t="s">
        <v>65</v>
      </c>
      <c r="B337" s="4">
        <v>9</v>
      </c>
      <c r="C337" s="5">
        <v>4.0199999999999996</v>
      </c>
      <c r="D337" s="4">
        <v>6</v>
      </c>
      <c r="E337" s="5">
        <v>4.1399999999999997</v>
      </c>
      <c r="F337" s="4">
        <v>3</v>
      </c>
      <c r="G337" s="5">
        <v>3.95</v>
      </c>
      <c r="H337" s="4">
        <v>0</v>
      </c>
    </row>
    <row r="338" spans="1:8" x14ac:dyDescent="0.2">
      <c r="A338" s="1" t="s">
        <v>21</v>
      </c>
      <c r="B338" s="4">
        <v>100</v>
      </c>
      <c r="C338" s="5">
        <v>100</v>
      </c>
      <c r="D338" s="4">
        <v>56</v>
      </c>
      <c r="E338" s="5">
        <v>100.00999999999999</v>
      </c>
      <c r="F338" s="4">
        <v>42</v>
      </c>
      <c r="G338" s="5">
        <v>99.98</v>
      </c>
      <c r="H338" s="4">
        <v>0</v>
      </c>
    </row>
    <row r="339" spans="1:8" x14ac:dyDescent="0.2">
      <c r="A339" s="2" t="s">
        <v>51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52</v>
      </c>
      <c r="B340" s="4">
        <v>19</v>
      </c>
      <c r="C340" s="5">
        <v>19</v>
      </c>
      <c r="D340" s="4">
        <v>7</v>
      </c>
      <c r="E340" s="5">
        <v>12.5</v>
      </c>
      <c r="F340" s="4">
        <v>12</v>
      </c>
      <c r="G340" s="5">
        <v>28.57</v>
      </c>
      <c r="H340" s="4">
        <v>0</v>
      </c>
    </row>
    <row r="341" spans="1:8" x14ac:dyDescent="0.2">
      <c r="A341" s="2" t="s">
        <v>53</v>
      </c>
      <c r="B341" s="4">
        <v>5</v>
      </c>
      <c r="C341" s="5">
        <v>5</v>
      </c>
      <c r="D341" s="4">
        <v>1</v>
      </c>
      <c r="E341" s="5">
        <v>1.79</v>
      </c>
      <c r="F341" s="4">
        <v>4</v>
      </c>
      <c r="G341" s="5">
        <v>9.52</v>
      </c>
      <c r="H341" s="4">
        <v>0</v>
      </c>
    </row>
    <row r="342" spans="1:8" x14ac:dyDescent="0.2">
      <c r="A342" s="2" t="s">
        <v>54</v>
      </c>
      <c r="B342" s="4">
        <v>2</v>
      </c>
      <c r="C342" s="5">
        <v>2</v>
      </c>
      <c r="D342" s="4">
        <v>0</v>
      </c>
      <c r="E342" s="5">
        <v>0</v>
      </c>
      <c r="F342" s="4">
        <v>1</v>
      </c>
      <c r="G342" s="5">
        <v>2.38</v>
      </c>
      <c r="H342" s="4">
        <v>0</v>
      </c>
    </row>
    <row r="343" spans="1:8" x14ac:dyDescent="0.2">
      <c r="A343" s="2" t="s">
        <v>55</v>
      </c>
      <c r="B343" s="4">
        <v>1</v>
      </c>
      <c r="C343" s="5">
        <v>1</v>
      </c>
      <c r="D343" s="4">
        <v>0</v>
      </c>
      <c r="E343" s="5">
        <v>0</v>
      </c>
      <c r="F343" s="4">
        <v>1</v>
      </c>
      <c r="G343" s="5">
        <v>2.38</v>
      </c>
      <c r="H343" s="4">
        <v>0</v>
      </c>
    </row>
    <row r="344" spans="1:8" x14ac:dyDescent="0.2">
      <c r="A344" s="2" t="s">
        <v>56</v>
      </c>
      <c r="B344" s="4">
        <v>1</v>
      </c>
      <c r="C344" s="5">
        <v>1</v>
      </c>
      <c r="D344" s="4">
        <v>0</v>
      </c>
      <c r="E344" s="5">
        <v>0</v>
      </c>
      <c r="F344" s="4">
        <v>1</v>
      </c>
      <c r="G344" s="5">
        <v>2.38</v>
      </c>
      <c r="H344" s="4">
        <v>0</v>
      </c>
    </row>
    <row r="345" spans="1:8" x14ac:dyDescent="0.2">
      <c r="A345" s="2" t="s">
        <v>57</v>
      </c>
      <c r="B345" s="4">
        <v>29</v>
      </c>
      <c r="C345" s="5">
        <v>29</v>
      </c>
      <c r="D345" s="4">
        <v>15</v>
      </c>
      <c r="E345" s="5">
        <v>26.79</v>
      </c>
      <c r="F345" s="4">
        <v>14</v>
      </c>
      <c r="G345" s="5">
        <v>33.33</v>
      </c>
      <c r="H345" s="4">
        <v>0</v>
      </c>
    </row>
    <row r="346" spans="1:8" x14ac:dyDescent="0.2">
      <c r="A346" s="2" t="s">
        <v>58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59</v>
      </c>
      <c r="B347" s="4">
        <v>6</v>
      </c>
      <c r="C347" s="5">
        <v>6</v>
      </c>
      <c r="D347" s="4">
        <v>3</v>
      </c>
      <c r="E347" s="5">
        <v>5.36</v>
      </c>
      <c r="F347" s="4">
        <v>3</v>
      </c>
      <c r="G347" s="5">
        <v>7.14</v>
      </c>
      <c r="H347" s="4">
        <v>0</v>
      </c>
    </row>
    <row r="348" spans="1:8" x14ac:dyDescent="0.2">
      <c r="A348" s="2" t="s">
        <v>60</v>
      </c>
      <c r="B348" s="4">
        <v>3</v>
      </c>
      <c r="C348" s="5">
        <v>3</v>
      </c>
      <c r="D348" s="4">
        <v>2</v>
      </c>
      <c r="E348" s="5">
        <v>3.57</v>
      </c>
      <c r="F348" s="4">
        <v>1</v>
      </c>
      <c r="G348" s="5">
        <v>2.38</v>
      </c>
      <c r="H348" s="4">
        <v>0</v>
      </c>
    </row>
    <row r="349" spans="1:8" x14ac:dyDescent="0.2">
      <c r="A349" s="2" t="s">
        <v>61</v>
      </c>
      <c r="B349" s="4">
        <v>4</v>
      </c>
      <c r="C349" s="5">
        <v>4</v>
      </c>
      <c r="D349" s="4">
        <v>4</v>
      </c>
      <c r="E349" s="5">
        <v>7.14</v>
      </c>
      <c r="F349" s="4">
        <v>0</v>
      </c>
      <c r="G349" s="5">
        <v>0</v>
      </c>
      <c r="H349" s="4">
        <v>0</v>
      </c>
    </row>
    <row r="350" spans="1:8" x14ac:dyDescent="0.2">
      <c r="A350" s="2" t="s">
        <v>62</v>
      </c>
      <c r="B350" s="4">
        <v>12</v>
      </c>
      <c r="C350" s="5">
        <v>12</v>
      </c>
      <c r="D350" s="4">
        <v>12</v>
      </c>
      <c r="E350" s="5">
        <v>21.43</v>
      </c>
      <c r="F350" s="4">
        <v>0</v>
      </c>
      <c r="G350" s="5">
        <v>0</v>
      </c>
      <c r="H350" s="4">
        <v>0</v>
      </c>
    </row>
    <row r="351" spans="1:8" x14ac:dyDescent="0.2">
      <c r="A351" s="2" t="s">
        <v>63</v>
      </c>
      <c r="B351" s="4">
        <v>2</v>
      </c>
      <c r="C351" s="5">
        <v>2</v>
      </c>
      <c r="D351" s="4">
        <v>2</v>
      </c>
      <c r="E351" s="5">
        <v>3.57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64</v>
      </c>
      <c r="B352" s="4">
        <v>8</v>
      </c>
      <c r="C352" s="5">
        <v>8</v>
      </c>
      <c r="D352" s="4">
        <v>8</v>
      </c>
      <c r="E352" s="5">
        <v>14.29</v>
      </c>
      <c r="F352" s="4">
        <v>0</v>
      </c>
      <c r="G352" s="5">
        <v>0</v>
      </c>
      <c r="H352" s="4">
        <v>0</v>
      </c>
    </row>
    <row r="353" spans="1:8" x14ac:dyDescent="0.2">
      <c r="A353" s="2" t="s">
        <v>65</v>
      </c>
      <c r="B353" s="4">
        <v>8</v>
      </c>
      <c r="C353" s="5">
        <v>8</v>
      </c>
      <c r="D353" s="4">
        <v>2</v>
      </c>
      <c r="E353" s="5">
        <v>3.57</v>
      </c>
      <c r="F353" s="4">
        <v>5</v>
      </c>
      <c r="G353" s="5">
        <v>11.9</v>
      </c>
      <c r="H353" s="4">
        <v>0</v>
      </c>
    </row>
    <row r="354" spans="1:8" x14ac:dyDescent="0.2">
      <c r="A354" s="1" t="s">
        <v>22</v>
      </c>
      <c r="B354" s="4">
        <v>235</v>
      </c>
      <c r="C354" s="5">
        <v>100.02</v>
      </c>
      <c r="D354" s="4">
        <v>137</v>
      </c>
      <c r="E354" s="5">
        <v>100.01</v>
      </c>
      <c r="F354" s="4">
        <v>93</v>
      </c>
      <c r="G354" s="5">
        <v>100.02</v>
      </c>
      <c r="H354" s="4">
        <v>2</v>
      </c>
    </row>
    <row r="355" spans="1:8" x14ac:dyDescent="0.2">
      <c r="A355" s="2" t="s">
        <v>51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52</v>
      </c>
      <c r="B356" s="4">
        <v>43</v>
      </c>
      <c r="C356" s="5">
        <v>18.3</v>
      </c>
      <c r="D356" s="4">
        <v>22</v>
      </c>
      <c r="E356" s="5">
        <v>16.059999999999999</v>
      </c>
      <c r="F356" s="4">
        <v>21</v>
      </c>
      <c r="G356" s="5">
        <v>22.58</v>
      </c>
      <c r="H356" s="4">
        <v>0</v>
      </c>
    </row>
    <row r="357" spans="1:8" x14ac:dyDescent="0.2">
      <c r="A357" s="2" t="s">
        <v>53</v>
      </c>
      <c r="B357" s="4">
        <v>39</v>
      </c>
      <c r="C357" s="5">
        <v>16.600000000000001</v>
      </c>
      <c r="D357" s="4">
        <v>16</v>
      </c>
      <c r="E357" s="5">
        <v>11.68</v>
      </c>
      <c r="F357" s="4">
        <v>23</v>
      </c>
      <c r="G357" s="5">
        <v>24.73</v>
      </c>
      <c r="H357" s="4">
        <v>0</v>
      </c>
    </row>
    <row r="358" spans="1:8" x14ac:dyDescent="0.2">
      <c r="A358" s="2" t="s">
        <v>54</v>
      </c>
      <c r="B358" s="4">
        <v>3</v>
      </c>
      <c r="C358" s="5">
        <v>1.28</v>
      </c>
      <c r="D358" s="4">
        <v>0</v>
      </c>
      <c r="E358" s="5">
        <v>0</v>
      </c>
      <c r="F358" s="4">
        <v>3</v>
      </c>
      <c r="G358" s="5">
        <v>3.23</v>
      </c>
      <c r="H358" s="4">
        <v>0</v>
      </c>
    </row>
    <row r="359" spans="1:8" x14ac:dyDescent="0.2">
      <c r="A359" s="2" t="s">
        <v>55</v>
      </c>
      <c r="B359" s="4">
        <v>1</v>
      </c>
      <c r="C359" s="5">
        <v>0.43</v>
      </c>
      <c r="D359" s="4">
        <v>0</v>
      </c>
      <c r="E359" s="5">
        <v>0</v>
      </c>
      <c r="F359" s="4">
        <v>1</v>
      </c>
      <c r="G359" s="5">
        <v>1.08</v>
      </c>
      <c r="H359" s="4">
        <v>0</v>
      </c>
    </row>
    <row r="360" spans="1:8" x14ac:dyDescent="0.2">
      <c r="A360" s="2" t="s">
        <v>56</v>
      </c>
      <c r="B360" s="4">
        <v>2</v>
      </c>
      <c r="C360" s="5">
        <v>0.85</v>
      </c>
      <c r="D360" s="4">
        <v>1</v>
      </c>
      <c r="E360" s="5">
        <v>0.73</v>
      </c>
      <c r="F360" s="4">
        <v>1</v>
      </c>
      <c r="G360" s="5">
        <v>1.08</v>
      </c>
      <c r="H360" s="4">
        <v>0</v>
      </c>
    </row>
    <row r="361" spans="1:8" x14ac:dyDescent="0.2">
      <c r="A361" s="2" t="s">
        <v>57</v>
      </c>
      <c r="B361" s="4">
        <v>75</v>
      </c>
      <c r="C361" s="5">
        <v>31.91</v>
      </c>
      <c r="D361" s="4">
        <v>45</v>
      </c>
      <c r="E361" s="5">
        <v>32.85</v>
      </c>
      <c r="F361" s="4">
        <v>29</v>
      </c>
      <c r="G361" s="5">
        <v>31.18</v>
      </c>
      <c r="H361" s="4">
        <v>1</v>
      </c>
    </row>
    <row r="362" spans="1:8" x14ac:dyDescent="0.2">
      <c r="A362" s="2" t="s">
        <v>58</v>
      </c>
      <c r="B362" s="4">
        <v>1</v>
      </c>
      <c r="C362" s="5">
        <v>0.43</v>
      </c>
      <c r="D362" s="4">
        <v>1</v>
      </c>
      <c r="E362" s="5">
        <v>0.73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59</v>
      </c>
      <c r="B363" s="4">
        <v>4</v>
      </c>
      <c r="C363" s="5">
        <v>1.7</v>
      </c>
      <c r="D363" s="4">
        <v>3</v>
      </c>
      <c r="E363" s="5">
        <v>2.19</v>
      </c>
      <c r="F363" s="4">
        <v>1</v>
      </c>
      <c r="G363" s="5">
        <v>1.08</v>
      </c>
      <c r="H363" s="4">
        <v>0</v>
      </c>
    </row>
    <row r="364" spans="1:8" x14ac:dyDescent="0.2">
      <c r="A364" s="2" t="s">
        <v>60</v>
      </c>
      <c r="B364" s="4">
        <v>5</v>
      </c>
      <c r="C364" s="5">
        <v>2.13</v>
      </c>
      <c r="D364" s="4">
        <v>3</v>
      </c>
      <c r="E364" s="5">
        <v>2.19</v>
      </c>
      <c r="F364" s="4">
        <v>2</v>
      </c>
      <c r="G364" s="5">
        <v>2.15</v>
      </c>
      <c r="H364" s="4">
        <v>0</v>
      </c>
    </row>
    <row r="365" spans="1:8" x14ac:dyDescent="0.2">
      <c r="A365" s="2" t="s">
        <v>61</v>
      </c>
      <c r="B365" s="4">
        <v>15</v>
      </c>
      <c r="C365" s="5">
        <v>6.38</v>
      </c>
      <c r="D365" s="4">
        <v>12</v>
      </c>
      <c r="E365" s="5">
        <v>8.76</v>
      </c>
      <c r="F365" s="4">
        <v>3</v>
      </c>
      <c r="G365" s="5">
        <v>3.23</v>
      </c>
      <c r="H365" s="4">
        <v>0</v>
      </c>
    </row>
    <row r="366" spans="1:8" x14ac:dyDescent="0.2">
      <c r="A366" s="2" t="s">
        <v>62</v>
      </c>
      <c r="B366" s="4">
        <v>21</v>
      </c>
      <c r="C366" s="5">
        <v>8.94</v>
      </c>
      <c r="D366" s="4">
        <v>16</v>
      </c>
      <c r="E366" s="5">
        <v>11.68</v>
      </c>
      <c r="F366" s="4">
        <v>4</v>
      </c>
      <c r="G366" s="5">
        <v>4.3</v>
      </c>
      <c r="H366" s="4">
        <v>0</v>
      </c>
    </row>
    <row r="367" spans="1:8" x14ac:dyDescent="0.2">
      <c r="A367" s="2" t="s">
        <v>63</v>
      </c>
      <c r="B367" s="4">
        <v>5</v>
      </c>
      <c r="C367" s="5">
        <v>2.13</v>
      </c>
      <c r="D367" s="4">
        <v>4</v>
      </c>
      <c r="E367" s="5">
        <v>2.92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64</v>
      </c>
      <c r="B368" s="4">
        <v>9</v>
      </c>
      <c r="C368" s="5">
        <v>3.83</v>
      </c>
      <c r="D368" s="4">
        <v>8</v>
      </c>
      <c r="E368" s="5">
        <v>5.84</v>
      </c>
      <c r="F368" s="4">
        <v>1</v>
      </c>
      <c r="G368" s="5">
        <v>1.08</v>
      </c>
      <c r="H368" s="4">
        <v>0</v>
      </c>
    </row>
    <row r="369" spans="1:8" x14ac:dyDescent="0.2">
      <c r="A369" s="2" t="s">
        <v>65</v>
      </c>
      <c r="B369" s="4">
        <v>12</v>
      </c>
      <c r="C369" s="5">
        <v>5.1100000000000003</v>
      </c>
      <c r="D369" s="4">
        <v>6</v>
      </c>
      <c r="E369" s="5">
        <v>4.38</v>
      </c>
      <c r="F369" s="4">
        <v>4</v>
      </c>
      <c r="G369" s="5">
        <v>4.3</v>
      </c>
      <c r="H369" s="4">
        <v>1</v>
      </c>
    </row>
    <row r="370" spans="1:8" x14ac:dyDescent="0.2">
      <c r="A370" s="1" t="s">
        <v>23</v>
      </c>
      <c r="B370" s="4">
        <v>290</v>
      </c>
      <c r="C370" s="5">
        <v>99.999999999999986</v>
      </c>
      <c r="D370" s="4">
        <v>166</v>
      </c>
      <c r="E370" s="5">
        <v>100.00999999999999</v>
      </c>
      <c r="F370" s="4">
        <v>119</v>
      </c>
      <c r="G370" s="5">
        <v>99.990000000000052</v>
      </c>
      <c r="H370" s="4">
        <v>0</v>
      </c>
    </row>
    <row r="371" spans="1:8" x14ac:dyDescent="0.2">
      <c r="A371" s="2" t="s">
        <v>51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52</v>
      </c>
      <c r="B372" s="4">
        <v>52</v>
      </c>
      <c r="C372" s="5">
        <v>17.93</v>
      </c>
      <c r="D372" s="4">
        <v>17</v>
      </c>
      <c r="E372" s="5">
        <v>10.24</v>
      </c>
      <c r="F372" s="4">
        <v>35</v>
      </c>
      <c r="G372" s="5">
        <v>29.41</v>
      </c>
      <c r="H372" s="4">
        <v>0</v>
      </c>
    </row>
    <row r="373" spans="1:8" x14ac:dyDescent="0.2">
      <c r="A373" s="2" t="s">
        <v>53</v>
      </c>
      <c r="B373" s="4">
        <v>31</v>
      </c>
      <c r="C373" s="5">
        <v>10.69</v>
      </c>
      <c r="D373" s="4">
        <v>7</v>
      </c>
      <c r="E373" s="5">
        <v>4.22</v>
      </c>
      <c r="F373" s="4">
        <v>24</v>
      </c>
      <c r="G373" s="5">
        <v>20.170000000000002</v>
      </c>
      <c r="H373" s="4">
        <v>0</v>
      </c>
    </row>
    <row r="374" spans="1:8" x14ac:dyDescent="0.2">
      <c r="A374" s="2" t="s">
        <v>54</v>
      </c>
      <c r="B374" s="4">
        <v>4</v>
      </c>
      <c r="C374" s="5">
        <v>1.38</v>
      </c>
      <c r="D374" s="4">
        <v>0</v>
      </c>
      <c r="E374" s="5">
        <v>0</v>
      </c>
      <c r="F374" s="4">
        <v>4</v>
      </c>
      <c r="G374" s="5">
        <v>3.36</v>
      </c>
      <c r="H374" s="4">
        <v>0</v>
      </c>
    </row>
    <row r="375" spans="1:8" x14ac:dyDescent="0.2">
      <c r="A375" s="2" t="s">
        <v>55</v>
      </c>
      <c r="B375" s="4">
        <v>1</v>
      </c>
      <c r="C375" s="5">
        <v>0.34</v>
      </c>
      <c r="D375" s="4">
        <v>0</v>
      </c>
      <c r="E375" s="5">
        <v>0</v>
      </c>
      <c r="F375" s="4">
        <v>1</v>
      </c>
      <c r="G375" s="5">
        <v>0.84</v>
      </c>
      <c r="H375" s="4">
        <v>0</v>
      </c>
    </row>
    <row r="376" spans="1:8" x14ac:dyDescent="0.2">
      <c r="A376" s="2" t="s">
        <v>56</v>
      </c>
      <c r="B376" s="4">
        <v>5</v>
      </c>
      <c r="C376" s="5">
        <v>1.72</v>
      </c>
      <c r="D376" s="4">
        <v>1</v>
      </c>
      <c r="E376" s="5">
        <v>0.6</v>
      </c>
      <c r="F376" s="4">
        <v>4</v>
      </c>
      <c r="G376" s="5">
        <v>3.36</v>
      </c>
      <c r="H376" s="4">
        <v>0</v>
      </c>
    </row>
    <row r="377" spans="1:8" x14ac:dyDescent="0.2">
      <c r="A377" s="2" t="s">
        <v>57</v>
      </c>
      <c r="B377" s="4">
        <v>82</v>
      </c>
      <c r="C377" s="5">
        <v>28.28</v>
      </c>
      <c r="D377" s="4">
        <v>48</v>
      </c>
      <c r="E377" s="5">
        <v>28.92</v>
      </c>
      <c r="F377" s="4">
        <v>34</v>
      </c>
      <c r="G377" s="5">
        <v>28.57</v>
      </c>
      <c r="H377" s="4">
        <v>0</v>
      </c>
    </row>
    <row r="378" spans="1:8" x14ac:dyDescent="0.2">
      <c r="A378" s="2" t="s">
        <v>58</v>
      </c>
      <c r="B378" s="4">
        <v>2</v>
      </c>
      <c r="C378" s="5">
        <v>0.69</v>
      </c>
      <c r="D378" s="4">
        <v>0</v>
      </c>
      <c r="E378" s="5">
        <v>0</v>
      </c>
      <c r="F378" s="4">
        <v>2</v>
      </c>
      <c r="G378" s="5">
        <v>1.68</v>
      </c>
      <c r="H378" s="4">
        <v>0</v>
      </c>
    </row>
    <row r="379" spans="1:8" x14ac:dyDescent="0.2">
      <c r="A379" s="2" t="s">
        <v>59</v>
      </c>
      <c r="B379" s="4">
        <v>22</v>
      </c>
      <c r="C379" s="5">
        <v>7.59</v>
      </c>
      <c r="D379" s="4">
        <v>16</v>
      </c>
      <c r="E379" s="5">
        <v>9.64</v>
      </c>
      <c r="F379" s="4">
        <v>6</v>
      </c>
      <c r="G379" s="5">
        <v>5.04</v>
      </c>
      <c r="H379" s="4">
        <v>0</v>
      </c>
    </row>
    <row r="380" spans="1:8" x14ac:dyDescent="0.2">
      <c r="A380" s="2" t="s">
        <v>60</v>
      </c>
      <c r="B380" s="4">
        <v>7</v>
      </c>
      <c r="C380" s="5">
        <v>2.41</v>
      </c>
      <c r="D380" s="4">
        <v>5</v>
      </c>
      <c r="E380" s="5">
        <v>3.01</v>
      </c>
      <c r="F380" s="4">
        <v>2</v>
      </c>
      <c r="G380" s="5">
        <v>1.68</v>
      </c>
      <c r="H380" s="4">
        <v>0</v>
      </c>
    </row>
    <row r="381" spans="1:8" x14ac:dyDescent="0.2">
      <c r="A381" s="2" t="s">
        <v>61</v>
      </c>
      <c r="B381" s="4">
        <v>21</v>
      </c>
      <c r="C381" s="5">
        <v>7.24</v>
      </c>
      <c r="D381" s="4">
        <v>19</v>
      </c>
      <c r="E381" s="5">
        <v>11.45</v>
      </c>
      <c r="F381" s="4">
        <v>2</v>
      </c>
      <c r="G381" s="5">
        <v>1.68</v>
      </c>
      <c r="H381" s="4">
        <v>0</v>
      </c>
    </row>
    <row r="382" spans="1:8" x14ac:dyDescent="0.2">
      <c r="A382" s="2" t="s">
        <v>62</v>
      </c>
      <c r="B382" s="4">
        <v>37</v>
      </c>
      <c r="C382" s="5">
        <v>12.76</v>
      </c>
      <c r="D382" s="4">
        <v>35</v>
      </c>
      <c r="E382" s="5">
        <v>21.08</v>
      </c>
      <c r="F382" s="4">
        <v>2</v>
      </c>
      <c r="G382" s="5">
        <v>1.68</v>
      </c>
      <c r="H382" s="4">
        <v>0</v>
      </c>
    </row>
    <row r="383" spans="1:8" x14ac:dyDescent="0.2">
      <c r="A383" s="2" t="s">
        <v>63</v>
      </c>
      <c r="B383" s="4">
        <v>10</v>
      </c>
      <c r="C383" s="5">
        <v>3.45</v>
      </c>
      <c r="D383" s="4">
        <v>7</v>
      </c>
      <c r="E383" s="5">
        <v>4.22</v>
      </c>
      <c r="F383" s="4">
        <v>2</v>
      </c>
      <c r="G383" s="5">
        <v>1.68</v>
      </c>
      <c r="H383" s="4">
        <v>0</v>
      </c>
    </row>
    <row r="384" spans="1:8" x14ac:dyDescent="0.2">
      <c r="A384" s="2" t="s">
        <v>64</v>
      </c>
      <c r="B384" s="4">
        <v>12</v>
      </c>
      <c r="C384" s="5">
        <v>4.1399999999999997</v>
      </c>
      <c r="D384" s="4">
        <v>7</v>
      </c>
      <c r="E384" s="5">
        <v>4.22</v>
      </c>
      <c r="F384" s="4">
        <v>1</v>
      </c>
      <c r="G384" s="5">
        <v>0.84</v>
      </c>
      <c r="H384" s="4">
        <v>0</v>
      </c>
    </row>
    <row r="385" spans="1:8" x14ac:dyDescent="0.2">
      <c r="A385" s="2" t="s">
        <v>65</v>
      </c>
      <c r="B385" s="4">
        <v>4</v>
      </c>
      <c r="C385" s="5">
        <v>1.38</v>
      </c>
      <c r="D385" s="4">
        <v>4</v>
      </c>
      <c r="E385" s="5">
        <v>2.41</v>
      </c>
      <c r="F385" s="4">
        <v>0</v>
      </c>
      <c r="G385" s="5">
        <v>0</v>
      </c>
      <c r="H385" s="4">
        <v>0</v>
      </c>
    </row>
    <row r="386" spans="1:8" x14ac:dyDescent="0.2">
      <c r="A386" s="1" t="s">
        <v>24</v>
      </c>
      <c r="B386" s="4">
        <v>249</v>
      </c>
      <c r="C386" s="5">
        <v>99.999999999999986</v>
      </c>
      <c r="D386" s="4">
        <v>168</v>
      </c>
      <c r="E386" s="5">
        <v>100.01</v>
      </c>
      <c r="F386" s="4">
        <v>79</v>
      </c>
      <c r="G386" s="5">
        <v>100.00999999999999</v>
      </c>
      <c r="H386" s="4">
        <v>0</v>
      </c>
    </row>
    <row r="387" spans="1:8" x14ac:dyDescent="0.2">
      <c r="A387" s="2" t="s">
        <v>51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52</v>
      </c>
      <c r="B388" s="4">
        <v>47</v>
      </c>
      <c r="C388" s="5">
        <v>18.88</v>
      </c>
      <c r="D388" s="4">
        <v>29</v>
      </c>
      <c r="E388" s="5">
        <v>17.260000000000002</v>
      </c>
      <c r="F388" s="4">
        <v>18</v>
      </c>
      <c r="G388" s="5">
        <v>22.78</v>
      </c>
      <c r="H388" s="4">
        <v>0</v>
      </c>
    </row>
    <row r="389" spans="1:8" x14ac:dyDescent="0.2">
      <c r="A389" s="2" t="s">
        <v>53</v>
      </c>
      <c r="B389" s="4">
        <v>20</v>
      </c>
      <c r="C389" s="5">
        <v>8.0299999999999994</v>
      </c>
      <c r="D389" s="4">
        <v>9</v>
      </c>
      <c r="E389" s="5">
        <v>5.36</v>
      </c>
      <c r="F389" s="4">
        <v>11</v>
      </c>
      <c r="G389" s="5">
        <v>13.92</v>
      </c>
      <c r="H389" s="4">
        <v>0</v>
      </c>
    </row>
    <row r="390" spans="1:8" x14ac:dyDescent="0.2">
      <c r="A390" s="2" t="s">
        <v>54</v>
      </c>
      <c r="B390" s="4">
        <v>1</v>
      </c>
      <c r="C390" s="5">
        <v>0.4</v>
      </c>
      <c r="D390" s="4">
        <v>0</v>
      </c>
      <c r="E390" s="5">
        <v>0</v>
      </c>
      <c r="F390" s="4">
        <v>1</v>
      </c>
      <c r="G390" s="5">
        <v>1.27</v>
      </c>
      <c r="H390" s="4">
        <v>0</v>
      </c>
    </row>
    <row r="391" spans="1:8" x14ac:dyDescent="0.2">
      <c r="A391" s="2" t="s">
        <v>55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56</v>
      </c>
      <c r="B392" s="4">
        <v>3</v>
      </c>
      <c r="C392" s="5">
        <v>1.2</v>
      </c>
      <c r="D392" s="4">
        <v>2</v>
      </c>
      <c r="E392" s="5">
        <v>1.19</v>
      </c>
      <c r="F392" s="4">
        <v>1</v>
      </c>
      <c r="G392" s="5">
        <v>1.27</v>
      </c>
      <c r="H392" s="4">
        <v>0</v>
      </c>
    </row>
    <row r="393" spans="1:8" x14ac:dyDescent="0.2">
      <c r="A393" s="2" t="s">
        <v>57</v>
      </c>
      <c r="B393" s="4">
        <v>73</v>
      </c>
      <c r="C393" s="5">
        <v>29.32</v>
      </c>
      <c r="D393" s="4">
        <v>47</v>
      </c>
      <c r="E393" s="5">
        <v>27.98</v>
      </c>
      <c r="F393" s="4">
        <v>26</v>
      </c>
      <c r="G393" s="5">
        <v>32.909999999999997</v>
      </c>
      <c r="H393" s="4">
        <v>0</v>
      </c>
    </row>
    <row r="394" spans="1:8" x14ac:dyDescent="0.2">
      <c r="A394" s="2" t="s">
        <v>58</v>
      </c>
      <c r="B394" s="4">
        <v>1</v>
      </c>
      <c r="C394" s="5">
        <v>0.4</v>
      </c>
      <c r="D394" s="4">
        <v>1</v>
      </c>
      <c r="E394" s="5">
        <v>0.6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59</v>
      </c>
      <c r="B395" s="4">
        <v>8</v>
      </c>
      <c r="C395" s="5">
        <v>3.21</v>
      </c>
      <c r="D395" s="4">
        <v>5</v>
      </c>
      <c r="E395" s="5">
        <v>2.98</v>
      </c>
      <c r="F395" s="4">
        <v>3</v>
      </c>
      <c r="G395" s="5">
        <v>3.8</v>
      </c>
      <c r="H395" s="4">
        <v>0</v>
      </c>
    </row>
    <row r="396" spans="1:8" x14ac:dyDescent="0.2">
      <c r="A396" s="2" t="s">
        <v>60</v>
      </c>
      <c r="B396" s="4">
        <v>8</v>
      </c>
      <c r="C396" s="5">
        <v>3.21</v>
      </c>
      <c r="D396" s="4">
        <v>5</v>
      </c>
      <c r="E396" s="5">
        <v>2.98</v>
      </c>
      <c r="F396" s="4">
        <v>3</v>
      </c>
      <c r="G396" s="5">
        <v>3.8</v>
      </c>
      <c r="H396" s="4">
        <v>0</v>
      </c>
    </row>
    <row r="397" spans="1:8" x14ac:dyDescent="0.2">
      <c r="A397" s="2" t="s">
        <v>61</v>
      </c>
      <c r="B397" s="4">
        <v>22</v>
      </c>
      <c r="C397" s="5">
        <v>8.84</v>
      </c>
      <c r="D397" s="4">
        <v>17</v>
      </c>
      <c r="E397" s="5">
        <v>10.119999999999999</v>
      </c>
      <c r="F397" s="4">
        <v>5</v>
      </c>
      <c r="G397" s="5">
        <v>6.33</v>
      </c>
      <c r="H397" s="4">
        <v>0</v>
      </c>
    </row>
    <row r="398" spans="1:8" x14ac:dyDescent="0.2">
      <c r="A398" s="2" t="s">
        <v>62</v>
      </c>
      <c r="B398" s="4">
        <v>21</v>
      </c>
      <c r="C398" s="5">
        <v>8.43</v>
      </c>
      <c r="D398" s="4">
        <v>20</v>
      </c>
      <c r="E398" s="5">
        <v>11.9</v>
      </c>
      <c r="F398" s="4">
        <v>1</v>
      </c>
      <c r="G398" s="5">
        <v>1.27</v>
      </c>
      <c r="H398" s="4">
        <v>0</v>
      </c>
    </row>
    <row r="399" spans="1:8" x14ac:dyDescent="0.2">
      <c r="A399" s="2" t="s">
        <v>63</v>
      </c>
      <c r="B399" s="4">
        <v>10</v>
      </c>
      <c r="C399" s="5">
        <v>4.0199999999999996</v>
      </c>
      <c r="D399" s="4">
        <v>8</v>
      </c>
      <c r="E399" s="5">
        <v>4.76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64</v>
      </c>
      <c r="B400" s="4">
        <v>11</v>
      </c>
      <c r="C400" s="5">
        <v>4.42</v>
      </c>
      <c r="D400" s="4">
        <v>6</v>
      </c>
      <c r="E400" s="5">
        <v>3.57</v>
      </c>
      <c r="F400" s="4">
        <v>5</v>
      </c>
      <c r="G400" s="5">
        <v>6.33</v>
      </c>
      <c r="H400" s="4">
        <v>0</v>
      </c>
    </row>
    <row r="401" spans="1:8" x14ac:dyDescent="0.2">
      <c r="A401" s="2" t="s">
        <v>65</v>
      </c>
      <c r="B401" s="4">
        <v>24</v>
      </c>
      <c r="C401" s="5">
        <v>9.64</v>
      </c>
      <c r="D401" s="4">
        <v>19</v>
      </c>
      <c r="E401" s="5">
        <v>11.31</v>
      </c>
      <c r="F401" s="4">
        <v>5</v>
      </c>
      <c r="G401" s="5">
        <v>6.33</v>
      </c>
      <c r="H401" s="4">
        <v>0</v>
      </c>
    </row>
    <row r="402" spans="1:8" x14ac:dyDescent="0.2">
      <c r="A402" s="1" t="s">
        <v>25</v>
      </c>
      <c r="B402" s="4">
        <v>602</v>
      </c>
      <c r="C402" s="5">
        <v>100</v>
      </c>
      <c r="D402" s="4">
        <v>256</v>
      </c>
      <c r="E402" s="5">
        <v>100.02</v>
      </c>
      <c r="F402" s="4">
        <v>338</v>
      </c>
      <c r="G402" s="5">
        <v>100.00999999999998</v>
      </c>
      <c r="H402" s="4">
        <v>2</v>
      </c>
    </row>
    <row r="403" spans="1:8" x14ac:dyDescent="0.2">
      <c r="A403" s="2" t="s">
        <v>51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52</v>
      </c>
      <c r="B404" s="4">
        <v>75</v>
      </c>
      <c r="C404" s="5">
        <v>12.46</v>
      </c>
      <c r="D404" s="4">
        <v>16</v>
      </c>
      <c r="E404" s="5">
        <v>6.25</v>
      </c>
      <c r="F404" s="4">
        <v>59</v>
      </c>
      <c r="G404" s="5">
        <v>17.46</v>
      </c>
      <c r="H404" s="4">
        <v>0</v>
      </c>
    </row>
    <row r="405" spans="1:8" x14ac:dyDescent="0.2">
      <c r="A405" s="2" t="s">
        <v>53</v>
      </c>
      <c r="B405" s="4">
        <v>54</v>
      </c>
      <c r="C405" s="5">
        <v>8.9700000000000006</v>
      </c>
      <c r="D405" s="4">
        <v>14</v>
      </c>
      <c r="E405" s="5">
        <v>5.47</v>
      </c>
      <c r="F405" s="4">
        <v>40</v>
      </c>
      <c r="G405" s="5">
        <v>11.83</v>
      </c>
      <c r="H405" s="4">
        <v>0</v>
      </c>
    </row>
    <row r="406" spans="1:8" x14ac:dyDescent="0.2">
      <c r="A406" s="2" t="s">
        <v>54</v>
      </c>
      <c r="B406" s="4">
        <v>8</v>
      </c>
      <c r="C406" s="5">
        <v>1.33</v>
      </c>
      <c r="D406" s="4">
        <v>0</v>
      </c>
      <c r="E406" s="5">
        <v>0</v>
      </c>
      <c r="F406" s="4">
        <v>7</v>
      </c>
      <c r="G406" s="5">
        <v>2.0699999999999998</v>
      </c>
      <c r="H406" s="4">
        <v>0</v>
      </c>
    </row>
    <row r="407" spans="1:8" x14ac:dyDescent="0.2">
      <c r="A407" s="2" t="s">
        <v>55</v>
      </c>
      <c r="B407" s="4">
        <v>9</v>
      </c>
      <c r="C407" s="5">
        <v>1.5</v>
      </c>
      <c r="D407" s="4">
        <v>0</v>
      </c>
      <c r="E407" s="5">
        <v>0</v>
      </c>
      <c r="F407" s="4">
        <v>9</v>
      </c>
      <c r="G407" s="5">
        <v>2.66</v>
      </c>
      <c r="H407" s="4">
        <v>0</v>
      </c>
    </row>
    <row r="408" spans="1:8" x14ac:dyDescent="0.2">
      <c r="A408" s="2" t="s">
        <v>56</v>
      </c>
      <c r="B408" s="4">
        <v>17</v>
      </c>
      <c r="C408" s="5">
        <v>2.82</v>
      </c>
      <c r="D408" s="4">
        <v>2</v>
      </c>
      <c r="E408" s="5">
        <v>0.78</v>
      </c>
      <c r="F408" s="4">
        <v>14</v>
      </c>
      <c r="G408" s="5">
        <v>4.1399999999999997</v>
      </c>
      <c r="H408" s="4">
        <v>1</v>
      </c>
    </row>
    <row r="409" spans="1:8" x14ac:dyDescent="0.2">
      <c r="A409" s="2" t="s">
        <v>57</v>
      </c>
      <c r="B409" s="4">
        <v>137</v>
      </c>
      <c r="C409" s="5">
        <v>22.76</v>
      </c>
      <c r="D409" s="4">
        <v>60</v>
      </c>
      <c r="E409" s="5">
        <v>23.44</v>
      </c>
      <c r="F409" s="4">
        <v>76</v>
      </c>
      <c r="G409" s="5">
        <v>22.49</v>
      </c>
      <c r="H409" s="4">
        <v>1</v>
      </c>
    </row>
    <row r="410" spans="1:8" x14ac:dyDescent="0.2">
      <c r="A410" s="2" t="s">
        <v>58</v>
      </c>
      <c r="B410" s="4">
        <v>2</v>
      </c>
      <c r="C410" s="5">
        <v>0.33</v>
      </c>
      <c r="D410" s="4">
        <v>1</v>
      </c>
      <c r="E410" s="5">
        <v>0.39</v>
      </c>
      <c r="F410" s="4">
        <v>1</v>
      </c>
      <c r="G410" s="5">
        <v>0.3</v>
      </c>
      <c r="H410" s="4">
        <v>0</v>
      </c>
    </row>
    <row r="411" spans="1:8" x14ac:dyDescent="0.2">
      <c r="A411" s="2" t="s">
        <v>59</v>
      </c>
      <c r="B411" s="4">
        <v>46</v>
      </c>
      <c r="C411" s="5">
        <v>7.64</v>
      </c>
      <c r="D411" s="4">
        <v>15</v>
      </c>
      <c r="E411" s="5">
        <v>5.86</v>
      </c>
      <c r="F411" s="4">
        <v>30</v>
      </c>
      <c r="G411" s="5">
        <v>8.8800000000000008</v>
      </c>
      <c r="H411" s="4">
        <v>0</v>
      </c>
    </row>
    <row r="412" spans="1:8" x14ac:dyDescent="0.2">
      <c r="A412" s="2" t="s">
        <v>60</v>
      </c>
      <c r="B412" s="4">
        <v>31</v>
      </c>
      <c r="C412" s="5">
        <v>5.15</v>
      </c>
      <c r="D412" s="4">
        <v>10</v>
      </c>
      <c r="E412" s="5">
        <v>3.91</v>
      </c>
      <c r="F412" s="4">
        <v>21</v>
      </c>
      <c r="G412" s="5">
        <v>6.21</v>
      </c>
      <c r="H412" s="4">
        <v>0</v>
      </c>
    </row>
    <row r="413" spans="1:8" x14ac:dyDescent="0.2">
      <c r="A413" s="2" t="s">
        <v>61</v>
      </c>
      <c r="B413" s="4">
        <v>70</v>
      </c>
      <c r="C413" s="5">
        <v>11.63</v>
      </c>
      <c r="D413" s="4">
        <v>40</v>
      </c>
      <c r="E413" s="5">
        <v>15.63</v>
      </c>
      <c r="F413" s="4">
        <v>30</v>
      </c>
      <c r="G413" s="5">
        <v>8.8800000000000008</v>
      </c>
      <c r="H413" s="4">
        <v>0</v>
      </c>
    </row>
    <row r="414" spans="1:8" x14ac:dyDescent="0.2">
      <c r="A414" s="2" t="s">
        <v>62</v>
      </c>
      <c r="B414" s="4">
        <v>76</v>
      </c>
      <c r="C414" s="5">
        <v>12.62</v>
      </c>
      <c r="D414" s="4">
        <v>59</v>
      </c>
      <c r="E414" s="5">
        <v>23.05</v>
      </c>
      <c r="F414" s="4">
        <v>17</v>
      </c>
      <c r="G414" s="5">
        <v>5.03</v>
      </c>
      <c r="H414" s="4">
        <v>0</v>
      </c>
    </row>
    <row r="415" spans="1:8" x14ac:dyDescent="0.2">
      <c r="A415" s="2" t="s">
        <v>63</v>
      </c>
      <c r="B415" s="4">
        <v>26</v>
      </c>
      <c r="C415" s="5">
        <v>4.32</v>
      </c>
      <c r="D415" s="4">
        <v>18</v>
      </c>
      <c r="E415" s="5">
        <v>7.03</v>
      </c>
      <c r="F415" s="4">
        <v>6</v>
      </c>
      <c r="G415" s="5">
        <v>1.78</v>
      </c>
      <c r="H415" s="4">
        <v>0</v>
      </c>
    </row>
    <row r="416" spans="1:8" x14ac:dyDescent="0.2">
      <c r="A416" s="2" t="s">
        <v>64</v>
      </c>
      <c r="B416" s="4">
        <v>17</v>
      </c>
      <c r="C416" s="5">
        <v>2.82</v>
      </c>
      <c r="D416" s="4">
        <v>11</v>
      </c>
      <c r="E416" s="5">
        <v>4.3</v>
      </c>
      <c r="F416" s="4">
        <v>5</v>
      </c>
      <c r="G416" s="5">
        <v>1.48</v>
      </c>
      <c r="H416" s="4">
        <v>0</v>
      </c>
    </row>
    <row r="417" spans="1:8" x14ac:dyDescent="0.2">
      <c r="A417" s="2" t="s">
        <v>65</v>
      </c>
      <c r="B417" s="4">
        <v>34</v>
      </c>
      <c r="C417" s="5">
        <v>5.65</v>
      </c>
      <c r="D417" s="4">
        <v>10</v>
      </c>
      <c r="E417" s="5">
        <v>3.91</v>
      </c>
      <c r="F417" s="4">
        <v>23</v>
      </c>
      <c r="G417" s="5">
        <v>6.8</v>
      </c>
      <c r="H417" s="4">
        <v>0</v>
      </c>
    </row>
    <row r="418" spans="1:8" x14ac:dyDescent="0.2">
      <c r="A418" s="1" t="s">
        <v>26</v>
      </c>
      <c r="B418" s="4">
        <v>772</v>
      </c>
      <c r="C418" s="5">
        <v>100.00999999999999</v>
      </c>
      <c r="D418" s="4">
        <v>315</v>
      </c>
      <c r="E418" s="5">
        <v>99.99</v>
      </c>
      <c r="F418" s="4">
        <v>452</v>
      </c>
      <c r="G418" s="5">
        <v>99.990000000000009</v>
      </c>
      <c r="H418" s="4">
        <v>0</v>
      </c>
    </row>
    <row r="419" spans="1:8" x14ac:dyDescent="0.2">
      <c r="A419" s="2" t="s">
        <v>51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52</v>
      </c>
      <c r="B420" s="4">
        <v>127</v>
      </c>
      <c r="C420" s="5">
        <v>16.45</v>
      </c>
      <c r="D420" s="4">
        <v>28</v>
      </c>
      <c r="E420" s="5">
        <v>8.89</v>
      </c>
      <c r="F420" s="4">
        <v>99</v>
      </c>
      <c r="G420" s="5">
        <v>21.9</v>
      </c>
      <c r="H420" s="4">
        <v>0</v>
      </c>
    </row>
    <row r="421" spans="1:8" x14ac:dyDescent="0.2">
      <c r="A421" s="2" t="s">
        <v>53</v>
      </c>
      <c r="B421" s="4">
        <v>24</v>
      </c>
      <c r="C421" s="5">
        <v>3.11</v>
      </c>
      <c r="D421" s="4">
        <v>4</v>
      </c>
      <c r="E421" s="5">
        <v>1.27</v>
      </c>
      <c r="F421" s="4">
        <v>20</v>
      </c>
      <c r="G421" s="5">
        <v>4.42</v>
      </c>
      <c r="H421" s="4">
        <v>0</v>
      </c>
    </row>
    <row r="422" spans="1:8" x14ac:dyDescent="0.2">
      <c r="A422" s="2" t="s">
        <v>54</v>
      </c>
      <c r="B422" s="4">
        <v>1</v>
      </c>
      <c r="C422" s="5">
        <v>0.13</v>
      </c>
      <c r="D422" s="4">
        <v>0</v>
      </c>
      <c r="E422" s="5">
        <v>0</v>
      </c>
      <c r="F422" s="4">
        <v>1</v>
      </c>
      <c r="G422" s="5">
        <v>0.22</v>
      </c>
      <c r="H422" s="4">
        <v>0</v>
      </c>
    </row>
    <row r="423" spans="1:8" x14ac:dyDescent="0.2">
      <c r="A423" s="2" t="s">
        <v>55</v>
      </c>
      <c r="B423" s="4">
        <v>3</v>
      </c>
      <c r="C423" s="5">
        <v>0.39</v>
      </c>
      <c r="D423" s="4">
        <v>0</v>
      </c>
      <c r="E423" s="5">
        <v>0</v>
      </c>
      <c r="F423" s="4">
        <v>3</v>
      </c>
      <c r="G423" s="5">
        <v>0.66</v>
      </c>
      <c r="H423" s="4">
        <v>0</v>
      </c>
    </row>
    <row r="424" spans="1:8" x14ac:dyDescent="0.2">
      <c r="A424" s="2" t="s">
        <v>56</v>
      </c>
      <c r="B424" s="4">
        <v>4</v>
      </c>
      <c r="C424" s="5">
        <v>0.52</v>
      </c>
      <c r="D424" s="4">
        <v>1</v>
      </c>
      <c r="E424" s="5">
        <v>0.32</v>
      </c>
      <c r="F424" s="4">
        <v>3</v>
      </c>
      <c r="G424" s="5">
        <v>0.66</v>
      </c>
      <c r="H424" s="4">
        <v>0</v>
      </c>
    </row>
    <row r="425" spans="1:8" x14ac:dyDescent="0.2">
      <c r="A425" s="2" t="s">
        <v>57</v>
      </c>
      <c r="B425" s="4">
        <v>223</v>
      </c>
      <c r="C425" s="5">
        <v>28.89</v>
      </c>
      <c r="D425" s="4">
        <v>70</v>
      </c>
      <c r="E425" s="5">
        <v>22.22</v>
      </c>
      <c r="F425" s="4">
        <v>153</v>
      </c>
      <c r="G425" s="5">
        <v>33.85</v>
      </c>
      <c r="H425" s="4">
        <v>0</v>
      </c>
    </row>
    <row r="426" spans="1:8" x14ac:dyDescent="0.2">
      <c r="A426" s="2" t="s">
        <v>58</v>
      </c>
      <c r="B426" s="4">
        <v>6</v>
      </c>
      <c r="C426" s="5">
        <v>0.78</v>
      </c>
      <c r="D426" s="4">
        <v>1</v>
      </c>
      <c r="E426" s="5">
        <v>0.32</v>
      </c>
      <c r="F426" s="4">
        <v>5</v>
      </c>
      <c r="G426" s="5">
        <v>1.1100000000000001</v>
      </c>
      <c r="H426" s="4">
        <v>0</v>
      </c>
    </row>
    <row r="427" spans="1:8" x14ac:dyDescent="0.2">
      <c r="A427" s="2" t="s">
        <v>59</v>
      </c>
      <c r="B427" s="4">
        <v>52</v>
      </c>
      <c r="C427" s="5">
        <v>6.74</v>
      </c>
      <c r="D427" s="4">
        <v>10</v>
      </c>
      <c r="E427" s="5">
        <v>3.17</v>
      </c>
      <c r="F427" s="4">
        <v>42</v>
      </c>
      <c r="G427" s="5">
        <v>9.2899999999999991</v>
      </c>
      <c r="H427" s="4">
        <v>0</v>
      </c>
    </row>
    <row r="428" spans="1:8" x14ac:dyDescent="0.2">
      <c r="A428" s="2" t="s">
        <v>60</v>
      </c>
      <c r="B428" s="4">
        <v>42</v>
      </c>
      <c r="C428" s="5">
        <v>5.44</v>
      </c>
      <c r="D428" s="4">
        <v>20</v>
      </c>
      <c r="E428" s="5">
        <v>6.35</v>
      </c>
      <c r="F428" s="4">
        <v>22</v>
      </c>
      <c r="G428" s="5">
        <v>4.87</v>
      </c>
      <c r="H428" s="4">
        <v>0</v>
      </c>
    </row>
    <row r="429" spans="1:8" x14ac:dyDescent="0.2">
      <c r="A429" s="2" t="s">
        <v>61</v>
      </c>
      <c r="B429" s="4">
        <v>63</v>
      </c>
      <c r="C429" s="5">
        <v>8.16</v>
      </c>
      <c r="D429" s="4">
        <v>46</v>
      </c>
      <c r="E429" s="5">
        <v>14.6</v>
      </c>
      <c r="F429" s="4">
        <v>17</v>
      </c>
      <c r="G429" s="5">
        <v>3.76</v>
      </c>
      <c r="H429" s="4">
        <v>0</v>
      </c>
    </row>
    <row r="430" spans="1:8" x14ac:dyDescent="0.2">
      <c r="A430" s="2" t="s">
        <v>62</v>
      </c>
      <c r="B430" s="4">
        <v>108</v>
      </c>
      <c r="C430" s="5">
        <v>13.99</v>
      </c>
      <c r="D430" s="4">
        <v>69</v>
      </c>
      <c r="E430" s="5">
        <v>21.9</v>
      </c>
      <c r="F430" s="4">
        <v>39</v>
      </c>
      <c r="G430" s="5">
        <v>8.6300000000000008</v>
      </c>
      <c r="H430" s="4">
        <v>0</v>
      </c>
    </row>
    <row r="431" spans="1:8" x14ac:dyDescent="0.2">
      <c r="A431" s="2" t="s">
        <v>63</v>
      </c>
      <c r="B431" s="4">
        <v>33</v>
      </c>
      <c r="C431" s="5">
        <v>4.2699999999999996</v>
      </c>
      <c r="D431" s="4">
        <v>23</v>
      </c>
      <c r="E431" s="5">
        <v>7.3</v>
      </c>
      <c r="F431" s="4">
        <v>9</v>
      </c>
      <c r="G431" s="5">
        <v>1.99</v>
      </c>
      <c r="H431" s="4">
        <v>0</v>
      </c>
    </row>
    <row r="432" spans="1:8" x14ac:dyDescent="0.2">
      <c r="A432" s="2" t="s">
        <v>64</v>
      </c>
      <c r="B432" s="4">
        <v>49</v>
      </c>
      <c r="C432" s="5">
        <v>6.35</v>
      </c>
      <c r="D432" s="4">
        <v>27</v>
      </c>
      <c r="E432" s="5">
        <v>8.57</v>
      </c>
      <c r="F432" s="4">
        <v>22</v>
      </c>
      <c r="G432" s="5">
        <v>4.87</v>
      </c>
      <c r="H432" s="4">
        <v>0</v>
      </c>
    </row>
    <row r="433" spans="1:8" x14ac:dyDescent="0.2">
      <c r="A433" s="2" t="s">
        <v>65</v>
      </c>
      <c r="B433" s="4">
        <v>37</v>
      </c>
      <c r="C433" s="5">
        <v>4.79</v>
      </c>
      <c r="D433" s="4">
        <v>16</v>
      </c>
      <c r="E433" s="5">
        <v>5.08</v>
      </c>
      <c r="F433" s="4">
        <v>17</v>
      </c>
      <c r="G433" s="5">
        <v>3.76</v>
      </c>
      <c r="H433" s="4">
        <v>0</v>
      </c>
    </row>
    <row r="434" spans="1:8" x14ac:dyDescent="0.2">
      <c r="A434" s="1" t="s">
        <v>27</v>
      </c>
      <c r="B434" s="4">
        <v>163</v>
      </c>
      <c r="C434" s="5">
        <v>99.990000000000009</v>
      </c>
      <c r="D434" s="4">
        <v>92</v>
      </c>
      <c r="E434" s="5">
        <v>100.00000000000001</v>
      </c>
      <c r="F434" s="4">
        <v>63</v>
      </c>
      <c r="G434" s="5">
        <v>100.00000000000001</v>
      </c>
      <c r="H434" s="4">
        <v>0</v>
      </c>
    </row>
    <row r="435" spans="1:8" x14ac:dyDescent="0.2">
      <c r="A435" s="2" t="s">
        <v>51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52</v>
      </c>
      <c r="B436" s="4">
        <v>29</v>
      </c>
      <c r="C436" s="5">
        <v>17.79</v>
      </c>
      <c r="D436" s="4">
        <v>18</v>
      </c>
      <c r="E436" s="5">
        <v>19.57</v>
      </c>
      <c r="F436" s="4">
        <v>11</v>
      </c>
      <c r="G436" s="5">
        <v>17.46</v>
      </c>
      <c r="H436" s="4">
        <v>0</v>
      </c>
    </row>
    <row r="437" spans="1:8" x14ac:dyDescent="0.2">
      <c r="A437" s="2" t="s">
        <v>53</v>
      </c>
      <c r="B437" s="4">
        <v>11</v>
      </c>
      <c r="C437" s="5">
        <v>6.75</v>
      </c>
      <c r="D437" s="4">
        <v>2</v>
      </c>
      <c r="E437" s="5">
        <v>2.17</v>
      </c>
      <c r="F437" s="4">
        <v>9</v>
      </c>
      <c r="G437" s="5">
        <v>14.29</v>
      </c>
      <c r="H437" s="4">
        <v>0</v>
      </c>
    </row>
    <row r="438" spans="1:8" x14ac:dyDescent="0.2">
      <c r="A438" s="2" t="s">
        <v>54</v>
      </c>
      <c r="B438" s="4">
        <v>2</v>
      </c>
      <c r="C438" s="5">
        <v>1.23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55</v>
      </c>
      <c r="B439" s="4">
        <v>1</v>
      </c>
      <c r="C439" s="5">
        <v>0.61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56</v>
      </c>
      <c r="B440" s="4">
        <v>1</v>
      </c>
      <c r="C440" s="5">
        <v>0.61</v>
      </c>
      <c r="D440" s="4">
        <v>0</v>
      </c>
      <c r="E440" s="5">
        <v>0</v>
      </c>
      <c r="F440" s="4">
        <v>1</v>
      </c>
      <c r="G440" s="5">
        <v>1.59</v>
      </c>
      <c r="H440" s="4">
        <v>0</v>
      </c>
    </row>
    <row r="441" spans="1:8" x14ac:dyDescent="0.2">
      <c r="A441" s="2" t="s">
        <v>57</v>
      </c>
      <c r="B441" s="4">
        <v>42</v>
      </c>
      <c r="C441" s="5">
        <v>25.77</v>
      </c>
      <c r="D441" s="4">
        <v>26</v>
      </c>
      <c r="E441" s="5">
        <v>28.26</v>
      </c>
      <c r="F441" s="4">
        <v>16</v>
      </c>
      <c r="G441" s="5">
        <v>25.4</v>
      </c>
      <c r="H441" s="4">
        <v>0</v>
      </c>
    </row>
    <row r="442" spans="1:8" x14ac:dyDescent="0.2">
      <c r="A442" s="2" t="s">
        <v>58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59</v>
      </c>
      <c r="B443" s="4">
        <v>7</v>
      </c>
      <c r="C443" s="5">
        <v>4.29</v>
      </c>
      <c r="D443" s="4">
        <v>2</v>
      </c>
      <c r="E443" s="5">
        <v>2.17</v>
      </c>
      <c r="F443" s="4">
        <v>4</v>
      </c>
      <c r="G443" s="5">
        <v>6.35</v>
      </c>
      <c r="H443" s="4">
        <v>0</v>
      </c>
    </row>
    <row r="444" spans="1:8" x14ac:dyDescent="0.2">
      <c r="A444" s="2" t="s">
        <v>60</v>
      </c>
      <c r="B444" s="4">
        <v>1</v>
      </c>
      <c r="C444" s="5">
        <v>0.61</v>
      </c>
      <c r="D444" s="4">
        <v>1</v>
      </c>
      <c r="E444" s="5">
        <v>1.0900000000000001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61</v>
      </c>
      <c r="B445" s="4">
        <v>46</v>
      </c>
      <c r="C445" s="5">
        <v>28.22</v>
      </c>
      <c r="D445" s="4">
        <v>29</v>
      </c>
      <c r="E445" s="5">
        <v>31.52</v>
      </c>
      <c r="F445" s="4">
        <v>17</v>
      </c>
      <c r="G445" s="5">
        <v>26.98</v>
      </c>
      <c r="H445" s="4">
        <v>0</v>
      </c>
    </row>
    <row r="446" spans="1:8" x14ac:dyDescent="0.2">
      <c r="A446" s="2" t="s">
        <v>62</v>
      </c>
      <c r="B446" s="4">
        <v>14</v>
      </c>
      <c r="C446" s="5">
        <v>8.59</v>
      </c>
      <c r="D446" s="4">
        <v>9</v>
      </c>
      <c r="E446" s="5">
        <v>9.7799999999999994</v>
      </c>
      <c r="F446" s="4">
        <v>3</v>
      </c>
      <c r="G446" s="5">
        <v>4.76</v>
      </c>
      <c r="H446" s="4">
        <v>0</v>
      </c>
    </row>
    <row r="447" spans="1:8" x14ac:dyDescent="0.2">
      <c r="A447" s="2" t="s">
        <v>63</v>
      </c>
      <c r="B447" s="4">
        <v>1</v>
      </c>
      <c r="C447" s="5">
        <v>0.61</v>
      </c>
      <c r="D447" s="4">
        <v>1</v>
      </c>
      <c r="E447" s="5">
        <v>1.0900000000000001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64</v>
      </c>
      <c r="B448" s="4">
        <v>2</v>
      </c>
      <c r="C448" s="5">
        <v>1.23</v>
      </c>
      <c r="D448" s="4">
        <v>1</v>
      </c>
      <c r="E448" s="5">
        <v>1.0900000000000001</v>
      </c>
      <c r="F448" s="4">
        <v>0</v>
      </c>
      <c r="G448" s="5">
        <v>0</v>
      </c>
      <c r="H448" s="4">
        <v>0</v>
      </c>
    </row>
    <row r="449" spans="1:8" x14ac:dyDescent="0.2">
      <c r="A449" s="2" t="s">
        <v>65</v>
      </c>
      <c r="B449" s="4">
        <v>6</v>
      </c>
      <c r="C449" s="5">
        <v>3.68</v>
      </c>
      <c r="D449" s="4">
        <v>3</v>
      </c>
      <c r="E449" s="5">
        <v>3.26</v>
      </c>
      <c r="F449" s="4">
        <v>2</v>
      </c>
      <c r="G449" s="5">
        <v>3.17</v>
      </c>
      <c r="H449" s="4">
        <v>0</v>
      </c>
    </row>
    <row r="450" spans="1:8" x14ac:dyDescent="0.2">
      <c r="A450" s="1" t="s">
        <v>28</v>
      </c>
      <c r="B450" s="4">
        <v>306</v>
      </c>
      <c r="C450" s="5">
        <v>100</v>
      </c>
      <c r="D450" s="4">
        <v>189</v>
      </c>
      <c r="E450" s="5">
        <v>100.02000000000002</v>
      </c>
      <c r="F450" s="4">
        <v>108</v>
      </c>
      <c r="G450" s="5">
        <v>100.00000000000001</v>
      </c>
      <c r="H450" s="4">
        <v>4</v>
      </c>
    </row>
    <row r="451" spans="1:8" x14ac:dyDescent="0.2">
      <c r="A451" s="2" t="s">
        <v>51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52</v>
      </c>
      <c r="B452" s="4">
        <v>49</v>
      </c>
      <c r="C452" s="5">
        <v>16.010000000000002</v>
      </c>
      <c r="D452" s="4">
        <v>29</v>
      </c>
      <c r="E452" s="5">
        <v>15.34</v>
      </c>
      <c r="F452" s="4">
        <v>20</v>
      </c>
      <c r="G452" s="5">
        <v>18.52</v>
      </c>
      <c r="H452" s="4">
        <v>0</v>
      </c>
    </row>
    <row r="453" spans="1:8" x14ac:dyDescent="0.2">
      <c r="A453" s="2" t="s">
        <v>53</v>
      </c>
      <c r="B453" s="4">
        <v>26</v>
      </c>
      <c r="C453" s="5">
        <v>8.5</v>
      </c>
      <c r="D453" s="4">
        <v>12</v>
      </c>
      <c r="E453" s="5">
        <v>6.35</v>
      </c>
      <c r="F453" s="4">
        <v>14</v>
      </c>
      <c r="G453" s="5">
        <v>12.96</v>
      </c>
      <c r="H453" s="4">
        <v>0</v>
      </c>
    </row>
    <row r="454" spans="1:8" x14ac:dyDescent="0.2">
      <c r="A454" s="2" t="s">
        <v>54</v>
      </c>
      <c r="B454" s="4">
        <v>1</v>
      </c>
      <c r="C454" s="5">
        <v>0.33</v>
      </c>
      <c r="D454" s="4">
        <v>0</v>
      </c>
      <c r="E454" s="5">
        <v>0</v>
      </c>
      <c r="F454" s="4">
        <v>1</v>
      </c>
      <c r="G454" s="5">
        <v>0.93</v>
      </c>
      <c r="H454" s="4">
        <v>0</v>
      </c>
    </row>
    <row r="455" spans="1:8" x14ac:dyDescent="0.2">
      <c r="A455" s="2" t="s">
        <v>55</v>
      </c>
      <c r="B455" s="4">
        <v>4</v>
      </c>
      <c r="C455" s="5">
        <v>1.31</v>
      </c>
      <c r="D455" s="4">
        <v>2</v>
      </c>
      <c r="E455" s="5">
        <v>1.06</v>
      </c>
      <c r="F455" s="4">
        <v>2</v>
      </c>
      <c r="G455" s="5">
        <v>1.85</v>
      </c>
      <c r="H455" s="4">
        <v>0</v>
      </c>
    </row>
    <row r="456" spans="1:8" x14ac:dyDescent="0.2">
      <c r="A456" s="2" t="s">
        <v>56</v>
      </c>
      <c r="B456" s="4">
        <v>4</v>
      </c>
      <c r="C456" s="5">
        <v>1.31</v>
      </c>
      <c r="D456" s="4">
        <v>1</v>
      </c>
      <c r="E456" s="5">
        <v>0.53</v>
      </c>
      <c r="F456" s="4">
        <v>2</v>
      </c>
      <c r="G456" s="5">
        <v>1.85</v>
      </c>
      <c r="H456" s="4">
        <v>1</v>
      </c>
    </row>
    <row r="457" spans="1:8" x14ac:dyDescent="0.2">
      <c r="A457" s="2" t="s">
        <v>57</v>
      </c>
      <c r="B457" s="4">
        <v>74</v>
      </c>
      <c r="C457" s="5">
        <v>24.18</v>
      </c>
      <c r="D457" s="4">
        <v>42</v>
      </c>
      <c r="E457" s="5">
        <v>22.22</v>
      </c>
      <c r="F457" s="4">
        <v>31</v>
      </c>
      <c r="G457" s="5">
        <v>28.7</v>
      </c>
      <c r="H457" s="4">
        <v>0</v>
      </c>
    </row>
    <row r="458" spans="1:8" x14ac:dyDescent="0.2">
      <c r="A458" s="2" t="s">
        <v>58</v>
      </c>
      <c r="B458" s="4">
        <v>2</v>
      </c>
      <c r="C458" s="5">
        <v>0.65</v>
      </c>
      <c r="D458" s="4">
        <v>0</v>
      </c>
      <c r="E458" s="5">
        <v>0</v>
      </c>
      <c r="F458" s="4">
        <v>2</v>
      </c>
      <c r="G458" s="5">
        <v>1.85</v>
      </c>
      <c r="H458" s="4">
        <v>0</v>
      </c>
    </row>
    <row r="459" spans="1:8" x14ac:dyDescent="0.2">
      <c r="A459" s="2" t="s">
        <v>59</v>
      </c>
      <c r="B459" s="4">
        <v>21</v>
      </c>
      <c r="C459" s="5">
        <v>6.86</v>
      </c>
      <c r="D459" s="4">
        <v>12</v>
      </c>
      <c r="E459" s="5">
        <v>6.35</v>
      </c>
      <c r="F459" s="4">
        <v>9</v>
      </c>
      <c r="G459" s="5">
        <v>8.33</v>
      </c>
      <c r="H459" s="4">
        <v>0</v>
      </c>
    </row>
    <row r="460" spans="1:8" x14ac:dyDescent="0.2">
      <c r="A460" s="2" t="s">
        <v>60</v>
      </c>
      <c r="B460" s="4">
        <v>6</v>
      </c>
      <c r="C460" s="5">
        <v>1.96</v>
      </c>
      <c r="D460" s="4">
        <v>5</v>
      </c>
      <c r="E460" s="5">
        <v>2.65</v>
      </c>
      <c r="F460" s="4">
        <v>1</v>
      </c>
      <c r="G460" s="5">
        <v>0.93</v>
      </c>
      <c r="H460" s="4">
        <v>0</v>
      </c>
    </row>
    <row r="461" spans="1:8" x14ac:dyDescent="0.2">
      <c r="A461" s="2" t="s">
        <v>61</v>
      </c>
      <c r="B461" s="4">
        <v>65</v>
      </c>
      <c r="C461" s="5">
        <v>21.24</v>
      </c>
      <c r="D461" s="4">
        <v>50</v>
      </c>
      <c r="E461" s="5">
        <v>26.46</v>
      </c>
      <c r="F461" s="4">
        <v>15</v>
      </c>
      <c r="G461" s="5">
        <v>13.89</v>
      </c>
      <c r="H461" s="4">
        <v>0</v>
      </c>
    </row>
    <row r="462" spans="1:8" x14ac:dyDescent="0.2">
      <c r="A462" s="2" t="s">
        <v>62</v>
      </c>
      <c r="B462" s="4">
        <v>32</v>
      </c>
      <c r="C462" s="5">
        <v>10.46</v>
      </c>
      <c r="D462" s="4">
        <v>26</v>
      </c>
      <c r="E462" s="5">
        <v>13.76</v>
      </c>
      <c r="F462" s="4">
        <v>4</v>
      </c>
      <c r="G462" s="5">
        <v>3.7</v>
      </c>
      <c r="H462" s="4">
        <v>2</v>
      </c>
    </row>
    <row r="463" spans="1:8" x14ac:dyDescent="0.2">
      <c r="A463" s="2" t="s">
        <v>63</v>
      </c>
      <c r="B463" s="4">
        <v>4</v>
      </c>
      <c r="C463" s="5">
        <v>1.31</v>
      </c>
      <c r="D463" s="4">
        <v>2</v>
      </c>
      <c r="E463" s="5">
        <v>1.06</v>
      </c>
      <c r="F463" s="4">
        <v>1</v>
      </c>
      <c r="G463" s="5">
        <v>0.93</v>
      </c>
      <c r="H463" s="4">
        <v>0</v>
      </c>
    </row>
    <row r="464" spans="1:8" x14ac:dyDescent="0.2">
      <c r="A464" s="2" t="s">
        <v>64</v>
      </c>
      <c r="B464" s="4">
        <v>8</v>
      </c>
      <c r="C464" s="5">
        <v>2.61</v>
      </c>
      <c r="D464" s="4">
        <v>5</v>
      </c>
      <c r="E464" s="5">
        <v>2.65</v>
      </c>
      <c r="F464" s="4">
        <v>0</v>
      </c>
      <c r="G464" s="5">
        <v>0</v>
      </c>
      <c r="H464" s="4">
        <v>0</v>
      </c>
    </row>
    <row r="465" spans="1:8" x14ac:dyDescent="0.2">
      <c r="A465" s="2" t="s">
        <v>65</v>
      </c>
      <c r="B465" s="4">
        <v>10</v>
      </c>
      <c r="C465" s="5">
        <v>3.27</v>
      </c>
      <c r="D465" s="4">
        <v>3</v>
      </c>
      <c r="E465" s="5">
        <v>1.59</v>
      </c>
      <c r="F465" s="4">
        <v>6</v>
      </c>
      <c r="G465" s="5">
        <v>5.56</v>
      </c>
      <c r="H465" s="4">
        <v>1</v>
      </c>
    </row>
    <row r="466" spans="1:8" x14ac:dyDescent="0.2">
      <c r="A466" s="1" t="s">
        <v>29</v>
      </c>
      <c r="B466" s="4">
        <v>46</v>
      </c>
      <c r="C466" s="5">
        <v>99.990000000000009</v>
      </c>
      <c r="D466" s="4">
        <v>23</v>
      </c>
      <c r="E466" s="5">
        <v>100.00999999999999</v>
      </c>
      <c r="F466" s="4">
        <v>20</v>
      </c>
      <c r="G466" s="5">
        <v>100</v>
      </c>
      <c r="H466" s="4">
        <v>0</v>
      </c>
    </row>
    <row r="467" spans="1:8" x14ac:dyDescent="0.2">
      <c r="A467" s="2" t="s">
        <v>51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52</v>
      </c>
      <c r="B468" s="4">
        <v>6</v>
      </c>
      <c r="C468" s="5">
        <v>13.04</v>
      </c>
      <c r="D468" s="4">
        <v>1</v>
      </c>
      <c r="E468" s="5">
        <v>4.3499999999999996</v>
      </c>
      <c r="F468" s="4">
        <v>5</v>
      </c>
      <c r="G468" s="5">
        <v>25</v>
      </c>
      <c r="H468" s="4">
        <v>0</v>
      </c>
    </row>
    <row r="469" spans="1:8" x14ac:dyDescent="0.2">
      <c r="A469" s="2" t="s">
        <v>53</v>
      </c>
      <c r="B469" s="4">
        <v>3</v>
      </c>
      <c r="C469" s="5">
        <v>6.52</v>
      </c>
      <c r="D469" s="4">
        <v>1</v>
      </c>
      <c r="E469" s="5">
        <v>4.3499999999999996</v>
      </c>
      <c r="F469" s="4">
        <v>2</v>
      </c>
      <c r="G469" s="5">
        <v>10</v>
      </c>
      <c r="H469" s="4">
        <v>0</v>
      </c>
    </row>
    <row r="470" spans="1:8" x14ac:dyDescent="0.2">
      <c r="A470" s="2" t="s">
        <v>54</v>
      </c>
      <c r="B470" s="4">
        <v>1</v>
      </c>
      <c r="C470" s="5">
        <v>2.17</v>
      </c>
      <c r="D470" s="4">
        <v>0</v>
      </c>
      <c r="E470" s="5">
        <v>0</v>
      </c>
      <c r="F470" s="4">
        <v>1</v>
      </c>
      <c r="G470" s="5">
        <v>5</v>
      </c>
      <c r="H470" s="4">
        <v>0</v>
      </c>
    </row>
    <row r="471" spans="1:8" x14ac:dyDescent="0.2">
      <c r="A471" s="2" t="s">
        <v>55</v>
      </c>
      <c r="B471" s="4">
        <v>1</v>
      </c>
      <c r="C471" s="5">
        <v>2.17</v>
      </c>
      <c r="D471" s="4">
        <v>0</v>
      </c>
      <c r="E471" s="5">
        <v>0</v>
      </c>
      <c r="F471" s="4">
        <v>1</v>
      </c>
      <c r="G471" s="5">
        <v>5</v>
      </c>
      <c r="H471" s="4">
        <v>0</v>
      </c>
    </row>
    <row r="472" spans="1:8" x14ac:dyDescent="0.2">
      <c r="A472" s="2" t="s">
        <v>56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2">
      <c r="A473" s="2" t="s">
        <v>57</v>
      </c>
      <c r="B473" s="4">
        <v>13</v>
      </c>
      <c r="C473" s="5">
        <v>28.26</v>
      </c>
      <c r="D473" s="4">
        <v>9</v>
      </c>
      <c r="E473" s="5">
        <v>39.130000000000003</v>
      </c>
      <c r="F473" s="4">
        <v>4</v>
      </c>
      <c r="G473" s="5">
        <v>20</v>
      </c>
      <c r="H473" s="4">
        <v>0</v>
      </c>
    </row>
    <row r="474" spans="1:8" x14ac:dyDescent="0.2">
      <c r="A474" s="2" t="s">
        <v>58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59</v>
      </c>
      <c r="B475" s="4">
        <v>0</v>
      </c>
      <c r="C475" s="5">
        <v>0</v>
      </c>
      <c r="D475" s="4">
        <v>0</v>
      </c>
      <c r="E475" s="5">
        <v>0</v>
      </c>
      <c r="F475" s="4">
        <v>0</v>
      </c>
      <c r="G475" s="5">
        <v>0</v>
      </c>
      <c r="H475" s="4">
        <v>0</v>
      </c>
    </row>
    <row r="476" spans="1:8" x14ac:dyDescent="0.2">
      <c r="A476" s="2" t="s">
        <v>60</v>
      </c>
      <c r="B476" s="4">
        <v>3</v>
      </c>
      <c r="C476" s="5">
        <v>6.52</v>
      </c>
      <c r="D476" s="4">
        <v>2</v>
      </c>
      <c r="E476" s="5">
        <v>8.6999999999999993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61</v>
      </c>
      <c r="B477" s="4">
        <v>9</v>
      </c>
      <c r="C477" s="5">
        <v>19.57</v>
      </c>
      <c r="D477" s="4">
        <v>5</v>
      </c>
      <c r="E477" s="5">
        <v>21.74</v>
      </c>
      <c r="F477" s="4">
        <v>3</v>
      </c>
      <c r="G477" s="5">
        <v>15</v>
      </c>
      <c r="H477" s="4">
        <v>0</v>
      </c>
    </row>
    <row r="478" spans="1:8" x14ac:dyDescent="0.2">
      <c r="A478" s="2" t="s">
        <v>62</v>
      </c>
      <c r="B478" s="4">
        <v>1</v>
      </c>
      <c r="C478" s="5">
        <v>2.17</v>
      </c>
      <c r="D478" s="4">
        <v>1</v>
      </c>
      <c r="E478" s="5">
        <v>4.3499999999999996</v>
      </c>
      <c r="F478" s="4">
        <v>0</v>
      </c>
      <c r="G478" s="5">
        <v>0</v>
      </c>
      <c r="H478" s="4">
        <v>0</v>
      </c>
    </row>
    <row r="479" spans="1:8" x14ac:dyDescent="0.2">
      <c r="A479" s="2" t="s">
        <v>63</v>
      </c>
      <c r="B479" s="4">
        <v>0</v>
      </c>
      <c r="C479" s="5">
        <v>0</v>
      </c>
      <c r="D479" s="4">
        <v>0</v>
      </c>
      <c r="E479" s="5">
        <v>0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64</v>
      </c>
      <c r="B480" s="4">
        <v>5</v>
      </c>
      <c r="C480" s="5">
        <v>10.87</v>
      </c>
      <c r="D480" s="4">
        <v>1</v>
      </c>
      <c r="E480" s="5">
        <v>4.3499999999999996</v>
      </c>
      <c r="F480" s="4">
        <v>3</v>
      </c>
      <c r="G480" s="5">
        <v>15</v>
      </c>
      <c r="H480" s="4">
        <v>0</v>
      </c>
    </row>
    <row r="481" spans="1:8" x14ac:dyDescent="0.2">
      <c r="A481" s="2" t="s">
        <v>65</v>
      </c>
      <c r="B481" s="4">
        <v>4</v>
      </c>
      <c r="C481" s="5">
        <v>8.6999999999999993</v>
      </c>
      <c r="D481" s="4">
        <v>3</v>
      </c>
      <c r="E481" s="5">
        <v>13.04</v>
      </c>
      <c r="F481" s="4">
        <v>1</v>
      </c>
      <c r="G481" s="5">
        <v>5</v>
      </c>
      <c r="H481" s="4">
        <v>0</v>
      </c>
    </row>
    <row r="482" spans="1:8" x14ac:dyDescent="0.2">
      <c r="A482" s="1" t="s">
        <v>30</v>
      </c>
      <c r="B482" s="4">
        <v>193</v>
      </c>
      <c r="C482" s="5">
        <v>100.02000000000002</v>
      </c>
      <c r="D482" s="4">
        <v>115</v>
      </c>
      <c r="E482" s="5">
        <v>100.01</v>
      </c>
      <c r="F482" s="4">
        <v>72</v>
      </c>
      <c r="G482" s="5">
        <v>100</v>
      </c>
      <c r="H482" s="4">
        <v>4</v>
      </c>
    </row>
    <row r="483" spans="1:8" x14ac:dyDescent="0.2">
      <c r="A483" s="2" t="s">
        <v>51</v>
      </c>
      <c r="B483" s="4">
        <v>1</v>
      </c>
      <c r="C483" s="5">
        <v>0.52</v>
      </c>
      <c r="D483" s="4">
        <v>0</v>
      </c>
      <c r="E483" s="5">
        <v>0</v>
      </c>
      <c r="F483" s="4">
        <v>1</v>
      </c>
      <c r="G483" s="5">
        <v>1.39</v>
      </c>
      <c r="H483" s="4">
        <v>0</v>
      </c>
    </row>
    <row r="484" spans="1:8" x14ac:dyDescent="0.2">
      <c r="A484" s="2" t="s">
        <v>52</v>
      </c>
      <c r="B484" s="4">
        <v>31</v>
      </c>
      <c r="C484" s="5">
        <v>16.059999999999999</v>
      </c>
      <c r="D484" s="4">
        <v>9</v>
      </c>
      <c r="E484" s="5">
        <v>7.83</v>
      </c>
      <c r="F484" s="4">
        <v>22</v>
      </c>
      <c r="G484" s="5">
        <v>30.56</v>
      </c>
      <c r="H484" s="4">
        <v>0</v>
      </c>
    </row>
    <row r="485" spans="1:8" x14ac:dyDescent="0.2">
      <c r="A485" s="2" t="s">
        <v>53</v>
      </c>
      <c r="B485" s="4">
        <v>12</v>
      </c>
      <c r="C485" s="5">
        <v>6.22</v>
      </c>
      <c r="D485" s="4">
        <v>6</v>
      </c>
      <c r="E485" s="5">
        <v>5.22</v>
      </c>
      <c r="F485" s="4">
        <v>6</v>
      </c>
      <c r="G485" s="5">
        <v>8.33</v>
      </c>
      <c r="H485" s="4">
        <v>0</v>
      </c>
    </row>
    <row r="486" spans="1:8" x14ac:dyDescent="0.2">
      <c r="A486" s="2" t="s">
        <v>54</v>
      </c>
      <c r="B486" s="4">
        <v>1</v>
      </c>
      <c r="C486" s="5">
        <v>0.52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55</v>
      </c>
      <c r="B487" s="4">
        <v>1</v>
      </c>
      <c r="C487" s="5">
        <v>0.52</v>
      </c>
      <c r="D487" s="4">
        <v>0</v>
      </c>
      <c r="E487" s="5">
        <v>0</v>
      </c>
      <c r="F487" s="4">
        <v>1</v>
      </c>
      <c r="G487" s="5">
        <v>1.39</v>
      </c>
      <c r="H487" s="4">
        <v>0</v>
      </c>
    </row>
    <row r="488" spans="1:8" x14ac:dyDescent="0.2">
      <c r="A488" s="2" t="s">
        <v>56</v>
      </c>
      <c r="B488" s="4">
        <v>3</v>
      </c>
      <c r="C488" s="5">
        <v>1.55</v>
      </c>
      <c r="D488" s="4">
        <v>0</v>
      </c>
      <c r="E488" s="5">
        <v>0</v>
      </c>
      <c r="F488" s="4">
        <v>1</v>
      </c>
      <c r="G488" s="5">
        <v>1.39</v>
      </c>
      <c r="H488" s="4">
        <v>2</v>
      </c>
    </row>
    <row r="489" spans="1:8" x14ac:dyDescent="0.2">
      <c r="A489" s="2" t="s">
        <v>57</v>
      </c>
      <c r="B489" s="4">
        <v>55</v>
      </c>
      <c r="C489" s="5">
        <v>28.5</v>
      </c>
      <c r="D489" s="4">
        <v>35</v>
      </c>
      <c r="E489" s="5">
        <v>30.43</v>
      </c>
      <c r="F489" s="4">
        <v>20</v>
      </c>
      <c r="G489" s="5">
        <v>27.78</v>
      </c>
      <c r="H489" s="4">
        <v>0</v>
      </c>
    </row>
    <row r="490" spans="1:8" x14ac:dyDescent="0.2">
      <c r="A490" s="2" t="s">
        <v>58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59</v>
      </c>
      <c r="B491" s="4">
        <v>7</v>
      </c>
      <c r="C491" s="5">
        <v>3.63</v>
      </c>
      <c r="D491" s="4">
        <v>2</v>
      </c>
      <c r="E491" s="5">
        <v>1.74</v>
      </c>
      <c r="F491" s="4">
        <v>5</v>
      </c>
      <c r="G491" s="5">
        <v>6.94</v>
      </c>
      <c r="H491" s="4">
        <v>0</v>
      </c>
    </row>
    <row r="492" spans="1:8" x14ac:dyDescent="0.2">
      <c r="A492" s="2" t="s">
        <v>60</v>
      </c>
      <c r="B492" s="4">
        <v>8</v>
      </c>
      <c r="C492" s="5">
        <v>4.1500000000000004</v>
      </c>
      <c r="D492" s="4">
        <v>7</v>
      </c>
      <c r="E492" s="5">
        <v>6.09</v>
      </c>
      <c r="F492" s="4">
        <v>1</v>
      </c>
      <c r="G492" s="5">
        <v>1.39</v>
      </c>
      <c r="H492" s="4">
        <v>0</v>
      </c>
    </row>
    <row r="493" spans="1:8" x14ac:dyDescent="0.2">
      <c r="A493" s="2" t="s">
        <v>61</v>
      </c>
      <c r="B493" s="4">
        <v>34</v>
      </c>
      <c r="C493" s="5">
        <v>17.62</v>
      </c>
      <c r="D493" s="4">
        <v>29</v>
      </c>
      <c r="E493" s="5">
        <v>25.22</v>
      </c>
      <c r="F493" s="4">
        <v>5</v>
      </c>
      <c r="G493" s="5">
        <v>6.94</v>
      </c>
      <c r="H493" s="4">
        <v>0</v>
      </c>
    </row>
    <row r="494" spans="1:8" x14ac:dyDescent="0.2">
      <c r="A494" s="2" t="s">
        <v>62</v>
      </c>
      <c r="B494" s="4">
        <v>22</v>
      </c>
      <c r="C494" s="5">
        <v>11.4</v>
      </c>
      <c r="D494" s="4">
        <v>16</v>
      </c>
      <c r="E494" s="5">
        <v>13.91</v>
      </c>
      <c r="F494" s="4">
        <v>5</v>
      </c>
      <c r="G494" s="5">
        <v>6.94</v>
      </c>
      <c r="H494" s="4">
        <v>1</v>
      </c>
    </row>
    <row r="495" spans="1:8" x14ac:dyDescent="0.2">
      <c r="A495" s="2" t="s">
        <v>63</v>
      </c>
      <c r="B495" s="4">
        <v>5</v>
      </c>
      <c r="C495" s="5">
        <v>2.59</v>
      </c>
      <c r="D495" s="4">
        <v>4</v>
      </c>
      <c r="E495" s="5">
        <v>3.48</v>
      </c>
      <c r="F495" s="4">
        <v>0</v>
      </c>
      <c r="G495" s="5">
        <v>0</v>
      </c>
      <c r="H495" s="4">
        <v>1</v>
      </c>
    </row>
    <row r="496" spans="1:8" x14ac:dyDescent="0.2">
      <c r="A496" s="2" t="s">
        <v>64</v>
      </c>
      <c r="B496" s="4">
        <v>8</v>
      </c>
      <c r="C496" s="5">
        <v>4.1500000000000004</v>
      </c>
      <c r="D496" s="4">
        <v>4</v>
      </c>
      <c r="E496" s="5">
        <v>3.48</v>
      </c>
      <c r="F496" s="4">
        <v>3</v>
      </c>
      <c r="G496" s="5">
        <v>4.17</v>
      </c>
      <c r="H496" s="4">
        <v>0</v>
      </c>
    </row>
    <row r="497" spans="1:8" x14ac:dyDescent="0.2">
      <c r="A497" s="2" t="s">
        <v>65</v>
      </c>
      <c r="B497" s="4">
        <v>5</v>
      </c>
      <c r="C497" s="5">
        <v>2.59</v>
      </c>
      <c r="D497" s="4">
        <v>3</v>
      </c>
      <c r="E497" s="5">
        <v>2.61</v>
      </c>
      <c r="F497" s="4">
        <v>2</v>
      </c>
      <c r="G497" s="5">
        <v>2.78</v>
      </c>
      <c r="H497" s="4">
        <v>0</v>
      </c>
    </row>
    <row r="498" spans="1:8" x14ac:dyDescent="0.2">
      <c r="A498" s="1" t="s">
        <v>31</v>
      </c>
      <c r="B498" s="4">
        <v>182</v>
      </c>
      <c r="C498" s="5">
        <v>100.02</v>
      </c>
      <c r="D498" s="4">
        <v>91</v>
      </c>
      <c r="E498" s="5">
        <v>99.999999999999986</v>
      </c>
      <c r="F498" s="4">
        <v>90</v>
      </c>
      <c r="G498" s="5">
        <v>99.99</v>
      </c>
      <c r="H498" s="4">
        <v>0</v>
      </c>
    </row>
    <row r="499" spans="1:8" x14ac:dyDescent="0.2">
      <c r="A499" s="2" t="s">
        <v>51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52</v>
      </c>
      <c r="B500" s="4">
        <v>39</v>
      </c>
      <c r="C500" s="5">
        <v>21.43</v>
      </c>
      <c r="D500" s="4">
        <v>13</v>
      </c>
      <c r="E500" s="5">
        <v>14.29</v>
      </c>
      <c r="F500" s="4">
        <v>26</v>
      </c>
      <c r="G500" s="5">
        <v>28.89</v>
      </c>
      <c r="H500" s="4">
        <v>0</v>
      </c>
    </row>
    <row r="501" spans="1:8" x14ac:dyDescent="0.2">
      <c r="A501" s="2" t="s">
        <v>53</v>
      </c>
      <c r="B501" s="4">
        <v>26</v>
      </c>
      <c r="C501" s="5">
        <v>14.29</v>
      </c>
      <c r="D501" s="4">
        <v>8</v>
      </c>
      <c r="E501" s="5">
        <v>8.7899999999999991</v>
      </c>
      <c r="F501" s="4">
        <v>18</v>
      </c>
      <c r="G501" s="5">
        <v>20</v>
      </c>
      <c r="H501" s="4">
        <v>0</v>
      </c>
    </row>
    <row r="502" spans="1:8" x14ac:dyDescent="0.2">
      <c r="A502" s="2" t="s">
        <v>54</v>
      </c>
      <c r="B502" s="4">
        <v>1</v>
      </c>
      <c r="C502" s="5">
        <v>0.55000000000000004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55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2">
      <c r="A504" s="2" t="s">
        <v>56</v>
      </c>
      <c r="B504" s="4">
        <v>0</v>
      </c>
      <c r="C504" s="5">
        <v>0</v>
      </c>
      <c r="D504" s="4">
        <v>0</v>
      </c>
      <c r="E504" s="5">
        <v>0</v>
      </c>
      <c r="F504" s="4">
        <v>0</v>
      </c>
      <c r="G504" s="5">
        <v>0</v>
      </c>
      <c r="H504" s="4">
        <v>0</v>
      </c>
    </row>
    <row r="505" spans="1:8" x14ac:dyDescent="0.2">
      <c r="A505" s="2" t="s">
        <v>57</v>
      </c>
      <c r="B505" s="4">
        <v>45</v>
      </c>
      <c r="C505" s="5">
        <v>24.73</v>
      </c>
      <c r="D505" s="4">
        <v>23</v>
      </c>
      <c r="E505" s="5">
        <v>25.27</v>
      </c>
      <c r="F505" s="4">
        <v>22</v>
      </c>
      <c r="G505" s="5">
        <v>24.44</v>
      </c>
      <c r="H505" s="4">
        <v>0</v>
      </c>
    </row>
    <row r="506" spans="1:8" x14ac:dyDescent="0.2">
      <c r="A506" s="2" t="s">
        <v>58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59</v>
      </c>
      <c r="B507" s="4">
        <v>5</v>
      </c>
      <c r="C507" s="5">
        <v>2.75</v>
      </c>
      <c r="D507" s="4">
        <v>1</v>
      </c>
      <c r="E507" s="5">
        <v>1.1000000000000001</v>
      </c>
      <c r="F507" s="4">
        <v>4</v>
      </c>
      <c r="G507" s="5">
        <v>4.4400000000000004</v>
      </c>
      <c r="H507" s="4">
        <v>0</v>
      </c>
    </row>
    <row r="508" spans="1:8" x14ac:dyDescent="0.2">
      <c r="A508" s="2" t="s">
        <v>60</v>
      </c>
      <c r="B508" s="4">
        <v>5</v>
      </c>
      <c r="C508" s="5">
        <v>2.75</v>
      </c>
      <c r="D508" s="4">
        <v>2</v>
      </c>
      <c r="E508" s="5">
        <v>2.2000000000000002</v>
      </c>
      <c r="F508" s="4">
        <v>3</v>
      </c>
      <c r="G508" s="5">
        <v>3.33</v>
      </c>
      <c r="H508" s="4">
        <v>0</v>
      </c>
    </row>
    <row r="509" spans="1:8" x14ac:dyDescent="0.2">
      <c r="A509" s="2" t="s">
        <v>61</v>
      </c>
      <c r="B509" s="4">
        <v>33</v>
      </c>
      <c r="C509" s="5">
        <v>18.13</v>
      </c>
      <c r="D509" s="4">
        <v>25</v>
      </c>
      <c r="E509" s="5">
        <v>27.47</v>
      </c>
      <c r="F509" s="4">
        <v>8</v>
      </c>
      <c r="G509" s="5">
        <v>8.89</v>
      </c>
      <c r="H509" s="4">
        <v>0</v>
      </c>
    </row>
    <row r="510" spans="1:8" x14ac:dyDescent="0.2">
      <c r="A510" s="2" t="s">
        <v>62</v>
      </c>
      <c r="B510" s="4">
        <v>15</v>
      </c>
      <c r="C510" s="5">
        <v>8.24</v>
      </c>
      <c r="D510" s="4">
        <v>14</v>
      </c>
      <c r="E510" s="5">
        <v>15.38</v>
      </c>
      <c r="F510" s="4">
        <v>1</v>
      </c>
      <c r="G510" s="5">
        <v>1.1100000000000001</v>
      </c>
      <c r="H510" s="4">
        <v>0</v>
      </c>
    </row>
    <row r="511" spans="1:8" x14ac:dyDescent="0.2">
      <c r="A511" s="2" t="s">
        <v>63</v>
      </c>
      <c r="B511" s="4">
        <v>3</v>
      </c>
      <c r="C511" s="5">
        <v>1.65</v>
      </c>
      <c r="D511" s="4">
        <v>1</v>
      </c>
      <c r="E511" s="5">
        <v>1.1000000000000001</v>
      </c>
      <c r="F511" s="4">
        <v>2</v>
      </c>
      <c r="G511" s="5">
        <v>2.2200000000000002</v>
      </c>
      <c r="H511" s="4">
        <v>0</v>
      </c>
    </row>
    <row r="512" spans="1:8" x14ac:dyDescent="0.2">
      <c r="A512" s="2" t="s">
        <v>64</v>
      </c>
      <c r="B512" s="4">
        <v>1</v>
      </c>
      <c r="C512" s="5">
        <v>0.55000000000000004</v>
      </c>
      <c r="D512" s="4">
        <v>1</v>
      </c>
      <c r="E512" s="5">
        <v>1.1000000000000001</v>
      </c>
      <c r="F512" s="4">
        <v>0</v>
      </c>
      <c r="G512" s="5">
        <v>0</v>
      </c>
      <c r="H512" s="4">
        <v>0</v>
      </c>
    </row>
    <row r="513" spans="1:8" x14ac:dyDescent="0.2">
      <c r="A513" s="2" t="s">
        <v>65</v>
      </c>
      <c r="B513" s="4">
        <v>9</v>
      </c>
      <c r="C513" s="5">
        <v>4.95</v>
      </c>
      <c r="D513" s="4">
        <v>3</v>
      </c>
      <c r="E513" s="5">
        <v>3.3</v>
      </c>
      <c r="F513" s="4">
        <v>6</v>
      </c>
      <c r="G513" s="5">
        <v>6.67</v>
      </c>
      <c r="H513" s="4">
        <v>0</v>
      </c>
    </row>
    <row r="514" spans="1:8" x14ac:dyDescent="0.2">
      <c r="A514" s="1" t="s">
        <v>32</v>
      </c>
      <c r="B514" s="4">
        <v>331</v>
      </c>
      <c r="C514" s="5">
        <v>99.999999999999986</v>
      </c>
      <c r="D514" s="4">
        <v>215</v>
      </c>
      <c r="E514" s="5">
        <v>100.01</v>
      </c>
      <c r="F514" s="4">
        <v>110</v>
      </c>
      <c r="G514" s="5">
        <v>99.999999999999986</v>
      </c>
      <c r="H514" s="4">
        <v>1</v>
      </c>
    </row>
    <row r="515" spans="1:8" x14ac:dyDescent="0.2">
      <c r="A515" s="2" t="s">
        <v>51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52</v>
      </c>
      <c r="B516" s="4">
        <v>41</v>
      </c>
      <c r="C516" s="5">
        <v>12.39</v>
      </c>
      <c r="D516" s="4">
        <v>8</v>
      </c>
      <c r="E516" s="5">
        <v>3.72</v>
      </c>
      <c r="F516" s="4">
        <v>33</v>
      </c>
      <c r="G516" s="5">
        <v>30</v>
      </c>
      <c r="H516" s="4">
        <v>0</v>
      </c>
    </row>
    <row r="517" spans="1:8" x14ac:dyDescent="0.2">
      <c r="A517" s="2" t="s">
        <v>53</v>
      </c>
      <c r="B517" s="4">
        <v>18</v>
      </c>
      <c r="C517" s="5">
        <v>5.44</v>
      </c>
      <c r="D517" s="4">
        <v>11</v>
      </c>
      <c r="E517" s="5">
        <v>5.12</v>
      </c>
      <c r="F517" s="4">
        <v>7</v>
      </c>
      <c r="G517" s="5">
        <v>6.36</v>
      </c>
      <c r="H517" s="4">
        <v>0</v>
      </c>
    </row>
    <row r="518" spans="1:8" x14ac:dyDescent="0.2">
      <c r="A518" s="2" t="s">
        <v>54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55</v>
      </c>
      <c r="B519" s="4">
        <v>4</v>
      </c>
      <c r="C519" s="5">
        <v>1.21</v>
      </c>
      <c r="D519" s="4">
        <v>0</v>
      </c>
      <c r="E519" s="5">
        <v>0</v>
      </c>
      <c r="F519" s="4">
        <v>4</v>
      </c>
      <c r="G519" s="5">
        <v>3.64</v>
      </c>
      <c r="H519" s="4">
        <v>0</v>
      </c>
    </row>
    <row r="520" spans="1:8" x14ac:dyDescent="0.2">
      <c r="A520" s="2" t="s">
        <v>56</v>
      </c>
      <c r="B520" s="4">
        <v>5</v>
      </c>
      <c r="C520" s="5">
        <v>1.51</v>
      </c>
      <c r="D520" s="4">
        <v>0</v>
      </c>
      <c r="E520" s="5">
        <v>0</v>
      </c>
      <c r="F520" s="4">
        <v>4</v>
      </c>
      <c r="G520" s="5">
        <v>3.64</v>
      </c>
      <c r="H520" s="4">
        <v>0</v>
      </c>
    </row>
    <row r="521" spans="1:8" x14ac:dyDescent="0.2">
      <c r="A521" s="2" t="s">
        <v>57</v>
      </c>
      <c r="B521" s="4">
        <v>86</v>
      </c>
      <c r="C521" s="5">
        <v>25.98</v>
      </c>
      <c r="D521" s="4">
        <v>57</v>
      </c>
      <c r="E521" s="5">
        <v>26.51</v>
      </c>
      <c r="F521" s="4">
        <v>29</v>
      </c>
      <c r="G521" s="5">
        <v>26.36</v>
      </c>
      <c r="H521" s="4">
        <v>0</v>
      </c>
    </row>
    <row r="522" spans="1:8" x14ac:dyDescent="0.2">
      <c r="A522" s="2" t="s">
        <v>58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59</v>
      </c>
      <c r="B523" s="4">
        <v>15</v>
      </c>
      <c r="C523" s="5">
        <v>4.53</v>
      </c>
      <c r="D523" s="4">
        <v>4</v>
      </c>
      <c r="E523" s="5">
        <v>1.86</v>
      </c>
      <c r="F523" s="4">
        <v>10</v>
      </c>
      <c r="G523" s="5">
        <v>9.09</v>
      </c>
      <c r="H523" s="4">
        <v>0</v>
      </c>
    </row>
    <row r="524" spans="1:8" x14ac:dyDescent="0.2">
      <c r="A524" s="2" t="s">
        <v>60</v>
      </c>
      <c r="B524" s="4">
        <v>11</v>
      </c>
      <c r="C524" s="5">
        <v>3.32</v>
      </c>
      <c r="D524" s="4">
        <v>4</v>
      </c>
      <c r="E524" s="5">
        <v>1.86</v>
      </c>
      <c r="F524" s="4">
        <v>6</v>
      </c>
      <c r="G524" s="5">
        <v>5.45</v>
      </c>
      <c r="H524" s="4">
        <v>0</v>
      </c>
    </row>
    <row r="525" spans="1:8" x14ac:dyDescent="0.2">
      <c r="A525" s="2" t="s">
        <v>61</v>
      </c>
      <c r="B525" s="4">
        <v>88</v>
      </c>
      <c r="C525" s="5">
        <v>26.59</v>
      </c>
      <c r="D525" s="4">
        <v>80</v>
      </c>
      <c r="E525" s="5">
        <v>37.21</v>
      </c>
      <c r="F525" s="4">
        <v>8</v>
      </c>
      <c r="G525" s="5">
        <v>7.27</v>
      </c>
      <c r="H525" s="4">
        <v>0</v>
      </c>
    </row>
    <row r="526" spans="1:8" x14ac:dyDescent="0.2">
      <c r="A526" s="2" t="s">
        <v>62</v>
      </c>
      <c r="B526" s="4">
        <v>33</v>
      </c>
      <c r="C526" s="5">
        <v>9.9700000000000006</v>
      </c>
      <c r="D526" s="4">
        <v>29</v>
      </c>
      <c r="E526" s="5">
        <v>13.49</v>
      </c>
      <c r="F526" s="4">
        <v>3</v>
      </c>
      <c r="G526" s="5">
        <v>2.73</v>
      </c>
      <c r="H526" s="4">
        <v>0</v>
      </c>
    </row>
    <row r="527" spans="1:8" x14ac:dyDescent="0.2">
      <c r="A527" s="2" t="s">
        <v>63</v>
      </c>
      <c r="B527" s="4">
        <v>9</v>
      </c>
      <c r="C527" s="5">
        <v>2.72</v>
      </c>
      <c r="D527" s="4">
        <v>7</v>
      </c>
      <c r="E527" s="5">
        <v>3.26</v>
      </c>
      <c r="F527" s="4">
        <v>2</v>
      </c>
      <c r="G527" s="5">
        <v>1.82</v>
      </c>
      <c r="H527" s="4">
        <v>0</v>
      </c>
    </row>
    <row r="528" spans="1:8" x14ac:dyDescent="0.2">
      <c r="A528" s="2" t="s">
        <v>64</v>
      </c>
      <c r="B528" s="4">
        <v>10</v>
      </c>
      <c r="C528" s="5">
        <v>3.02</v>
      </c>
      <c r="D528" s="4">
        <v>7</v>
      </c>
      <c r="E528" s="5">
        <v>3.26</v>
      </c>
      <c r="F528" s="4">
        <v>2</v>
      </c>
      <c r="G528" s="5">
        <v>1.82</v>
      </c>
      <c r="H528" s="4">
        <v>0</v>
      </c>
    </row>
    <row r="529" spans="1:8" x14ac:dyDescent="0.2">
      <c r="A529" s="2" t="s">
        <v>65</v>
      </c>
      <c r="B529" s="4">
        <v>11</v>
      </c>
      <c r="C529" s="5">
        <v>3.32</v>
      </c>
      <c r="D529" s="4">
        <v>8</v>
      </c>
      <c r="E529" s="5">
        <v>3.72</v>
      </c>
      <c r="F529" s="4">
        <v>2</v>
      </c>
      <c r="G529" s="5">
        <v>1.82</v>
      </c>
      <c r="H529" s="4">
        <v>1</v>
      </c>
    </row>
    <row r="530" spans="1:8" x14ac:dyDescent="0.2">
      <c r="A530" s="1" t="s">
        <v>33</v>
      </c>
      <c r="B530" s="4">
        <v>393</v>
      </c>
      <c r="C530" s="5">
        <v>99.989999999999981</v>
      </c>
      <c r="D530" s="4">
        <v>199</v>
      </c>
      <c r="E530" s="5">
        <v>100.01</v>
      </c>
      <c r="F530" s="4">
        <v>192</v>
      </c>
      <c r="G530" s="5">
        <v>99.97999999999999</v>
      </c>
      <c r="H530" s="4">
        <v>0</v>
      </c>
    </row>
    <row r="531" spans="1:8" x14ac:dyDescent="0.2">
      <c r="A531" s="2" t="s">
        <v>51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52</v>
      </c>
      <c r="B532" s="4">
        <v>96</v>
      </c>
      <c r="C532" s="5">
        <v>24.43</v>
      </c>
      <c r="D532" s="4">
        <v>34</v>
      </c>
      <c r="E532" s="5">
        <v>17.09</v>
      </c>
      <c r="F532" s="4">
        <v>62</v>
      </c>
      <c r="G532" s="5">
        <v>32.29</v>
      </c>
      <c r="H532" s="4">
        <v>0</v>
      </c>
    </row>
    <row r="533" spans="1:8" x14ac:dyDescent="0.2">
      <c r="A533" s="2" t="s">
        <v>53</v>
      </c>
      <c r="B533" s="4">
        <v>34</v>
      </c>
      <c r="C533" s="5">
        <v>8.65</v>
      </c>
      <c r="D533" s="4">
        <v>20</v>
      </c>
      <c r="E533" s="5">
        <v>10.050000000000001</v>
      </c>
      <c r="F533" s="4">
        <v>14</v>
      </c>
      <c r="G533" s="5">
        <v>7.29</v>
      </c>
      <c r="H533" s="4">
        <v>0</v>
      </c>
    </row>
    <row r="534" spans="1:8" x14ac:dyDescent="0.2">
      <c r="A534" s="2" t="s">
        <v>54</v>
      </c>
      <c r="B534" s="4">
        <v>1</v>
      </c>
      <c r="C534" s="5">
        <v>0.25</v>
      </c>
      <c r="D534" s="4">
        <v>0</v>
      </c>
      <c r="E534" s="5">
        <v>0</v>
      </c>
      <c r="F534" s="4">
        <v>1</v>
      </c>
      <c r="G534" s="5">
        <v>0.52</v>
      </c>
      <c r="H534" s="4">
        <v>0</v>
      </c>
    </row>
    <row r="535" spans="1:8" x14ac:dyDescent="0.2">
      <c r="A535" s="2" t="s">
        <v>55</v>
      </c>
      <c r="B535" s="4">
        <v>2</v>
      </c>
      <c r="C535" s="5">
        <v>0.51</v>
      </c>
      <c r="D535" s="4">
        <v>0</v>
      </c>
      <c r="E535" s="5">
        <v>0</v>
      </c>
      <c r="F535" s="4">
        <v>2</v>
      </c>
      <c r="G535" s="5">
        <v>1.04</v>
      </c>
      <c r="H535" s="4">
        <v>0</v>
      </c>
    </row>
    <row r="536" spans="1:8" x14ac:dyDescent="0.2">
      <c r="A536" s="2" t="s">
        <v>56</v>
      </c>
      <c r="B536" s="4">
        <v>6</v>
      </c>
      <c r="C536" s="5">
        <v>1.53</v>
      </c>
      <c r="D536" s="4">
        <v>1</v>
      </c>
      <c r="E536" s="5">
        <v>0.5</v>
      </c>
      <c r="F536" s="4">
        <v>5</v>
      </c>
      <c r="G536" s="5">
        <v>2.6</v>
      </c>
      <c r="H536" s="4">
        <v>0</v>
      </c>
    </row>
    <row r="537" spans="1:8" x14ac:dyDescent="0.2">
      <c r="A537" s="2" t="s">
        <v>57</v>
      </c>
      <c r="B537" s="4">
        <v>102</v>
      </c>
      <c r="C537" s="5">
        <v>25.95</v>
      </c>
      <c r="D537" s="4">
        <v>51</v>
      </c>
      <c r="E537" s="5">
        <v>25.63</v>
      </c>
      <c r="F537" s="4">
        <v>51</v>
      </c>
      <c r="G537" s="5">
        <v>26.56</v>
      </c>
      <c r="H537" s="4">
        <v>0</v>
      </c>
    </row>
    <row r="538" spans="1:8" x14ac:dyDescent="0.2">
      <c r="A538" s="2" t="s">
        <v>58</v>
      </c>
      <c r="B538" s="4">
        <v>1</v>
      </c>
      <c r="C538" s="5">
        <v>0.25</v>
      </c>
      <c r="D538" s="4">
        <v>0</v>
      </c>
      <c r="E538" s="5">
        <v>0</v>
      </c>
      <c r="F538" s="4">
        <v>1</v>
      </c>
      <c r="G538" s="5">
        <v>0.52</v>
      </c>
      <c r="H538" s="4">
        <v>0</v>
      </c>
    </row>
    <row r="539" spans="1:8" x14ac:dyDescent="0.2">
      <c r="A539" s="2" t="s">
        <v>59</v>
      </c>
      <c r="B539" s="4">
        <v>18</v>
      </c>
      <c r="C539" s="5">
        <v>4.58</v>
      </c>
      <c r="D539" s="4">
        <v>5</v>
      </c>
      <c r="E539" s="5">
        <v>2.5099999999999998</v>
      </c>
      <c r="F539" s="4">
        <v>13</v>
      </c>
      <c r="G539" s="5">
        <v>6.77</v>
      </c>
      <c r="H539" s="4">
        <v>0</v>
      </c>
    </row>
    <row r="540" spans="1:8" x14ac:dyDescent="0.2">
      <c r="A540" s="2" t="s">
        <v>60</v>
      </c>
      <c r="B540" s="4">
        <v>14</v>
      </c>
      <c r="C540" s="5">
        <v>3.56</v>
      </c>
      <c r="D540" s="4">
        <v>8</v>
      </c>
      <c r="E540" s="5">
        <v>4.0199999999999996</v>
      </c>
      <c r="F540" s="4">
        <v>5</v>
      </c>
      <c r="G540" s="5">
        <v>2.6</v>
      </c>
      <c r="H540" s="4">
        <v>0</v>
      </c>
    </row>
    <row r="541" spans="1:8" x14ac:dyDescent="0.2">
      <c r="A541" s="2" t="s">
        <v>61</v>
      </c>
      <c r="B541" s="4">
        <v>30</v>
      </c>
      <c r="C541" s="5">
        <v>7.63</v>
      </c>
      <c r="D541" s="4">
        <v>27</v>
      </c>
      <c r="E541" s="5">
        <v>13.57</v>
      </c>
      <c r="F541" s="4">
        <v>2</v>
      </c>
      <c r="G541" s="5">
        <v>1.04</v>
      </c>
      <c r="H541" s="4">
        <v>0</v>
      </c>
    </row>
    <row r="542" spans="1:8" x14ac:dyDescent="0.2">
      <c r="A542" s="2" t="s">
        <v>62</v>
      </c>
      <c r="B542" s="4">
        <v>41</v>
      </c>
      <c r="C542" s="5">
        <v>10.43</v>
      </c>
      <c r="D542" s="4">
        <v>30</v>
      </c>
      <c r="E542" s="5">
        <v>15.08</v>
      </c>
      <c r="F542" s="4">
        <v>11</v>
      </c>
      <c r="G542" s="5">
        <v>5.73</v>
      </c>
      <c r="H542" s="4">
        <v>0</v>
      </c>
    </row>
    <row r="543" spans="1:8" x14ac:dyDescent="0.2">
      <c r="A543" s="2" t="s">
        <v>63</v>
      </c>
      <c r="B543" s="4">
        <v>7</v>
      </c>
      <c r="C543" s="5">
        <v>1.78</v>
      </c>
      <c r="D543" s="4">
        <v>3</v>
      </c>
      <c r="E543" s="5">
        <v>1.51</v>
      </c>
      <c r="F543" s="4">
        <v>4</v>
      </c>
      <c r="G543" s="5">
        <v>2.08</v>
      </c>
      <c r="H543" s="4">
        <v>0</v>
      </c>
    </row>
    <row r="544" spans="1:8" x14ac:dyDescent="0.2">
      <c r="A544" s="2" t="s">
        <v>64</v>
      </c>
      <c r="B544" s="4">
        <v>17</v>
      </c>
      <c r="C544" s="5">
        <v>4.33</v>
      </c>
      <c r="D544" s="4">
        <v>8</v>
      </c>
      <c r="E544" s="5">
        <v>4.0199999999999996</v>
      </c>
      <c r="F544" s="4">
        <v>9</v>
      </c>
      <c r="G544" s="5">
        <v>4.6900000000000004</v>
      </c>
      <c r="H544" s="4">
        <v>0</v>
      </c>
    </row>
    <row r="545" spans="1:8" x14ac:dyDescent="0.2">
      <c r="A545" s="2" t="s">
        <v>65</v>
      </c>
      <c r="B545" s="4">
        <v>24</v>
      </c>
      <c r="C545" s="5">
        <v>6.11</v>
      </c>
      <c r="D545" s="4">
        <v>12</v>
      </c>
      <c r="E545" s="5">
        <v>6.03</v>
      </c>
      <c r="F545" s="4">
        <v>12</v>
      </c>
      <c r="G545" s="5">
        <v>6.25</v>
      </c>
      <c r="H545" s="4">
        <v>0</v>
      </c>
    </row>
    <row r="546" spans="1:8" x14ac:dyDescent="0.2">
      <c r="A546" s="1" t="s">
        <v>34</v>
      </c>
      <c r="B546" s="4">
        <v>277</v>
      </c>
      <c r="C546" s="5">
        <v>99.99</v>
      </c>
      <c r="D546" s="4">
        <v>88</v>
      </c>
      <c r="E546" s="5">
        <v>99.990000000000009</v>
      </c>
      <c r="F546" s="4">
        <v>188</v>
      </c>
      <c r="G546" s="5">
        <v>99.990000000000009</v>
      </c>
      <c r="H546" s="4">
        <v>0</v>
      </c>
    </row>
    <row r="547" spans="1:8" x14ac:dyDescent="0.2">
      <c r="A547" s="2" t="s">
        <v>51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52</v>
      </c>
      <c r="B548" s="4">
        <v>39</v>
      </c>
      <c r="C548" s="5">
        <v>14.08</v>
      </c>
      <c r="D548" s="4">
        <v>13</v>
      </c>
      <c r="E548" s="5">
        <v>14.77</v>
      </c>
      <c r="F548" s="4">
        <v>26</v>
      </c>
      <c r="G548" s="5">
        <v>13.83</v>
      </c>
      <c r="H548" s="4">
        <v>0</v>
      </c>
    </row>
    <row r="549" spans="1:8" x14ac:dyDescent="0.2">
      <c r="A549" s="2" t="s">
        <v>53</v>
      </c>
      <c r="B549" s="4">
        <v>15</v>
      </c>
      <c r="C549" s="5">
        <v>5.42</v>
      </c>
      <c r="D549" s="4">
        <v>2</v>
      </c>
      <c r="E549" s="5">
        <v>2.27</v>
      </c>
      <c r="F549" s="4">
        <v>13</v>
      </c>
      <c r="G549" s="5">
        <v>6.91</v>
      </c>
      <c r="H549" s="4">
        <v>0</v>
      </c>
    </row>
    <row r="550" spans="1:8" x14ac:dyDescent="0.2">
      <c r="A550" s="2" t="s">
        <v>54</v>
      </c>
      <c r="B550" s="4">
        <v>2</v>
      </c>
      <c r="C550" s="5">
        <v>0.72</v>
      </c>
      <c r="D550" s="4">
        <v>0</v>
      </c>
      <c r="E550" s="5">
        <v>0</v>
      </c>
      <c r="F550" s="4">
        <v>2</v>
      </c>
      <c r="G550" s="5">
        <v>1.06</v>
      </c>
      <c r="H550" s="4">
        <v>0</v>
      </c>
    </row>
    <row r="551" spans="1:8" x14ac:dyDescent="0.2">
      <c r="A551" s="2" t="s">
        <v>55</v>
      </c>
      <c r="B551" s="4">
        <v>1</v>
      </c>
      <c r="C551" s="5">
        <v>0.36</v>
      </c>
      <c r="D551" s="4">
        <v>0</v>
      </c>
      <c r="E551" s="5">
        <v>0</v>
      </c>
      <c r="F551" s="4">
        <v>1</v>
      </c>
      <c r="G551" s="5">
        <v>0.53</v>
      </c>
      <c r="H551" s="4">
        <v>0</v>
      </c>
    </row>
    <row r="552" spans="1:8" x14ac:dyDescent="0.2">
      <c r="A552" s="2" t="s">
        <v>56</v>
      </c>
      <c r="B552" s="4">
        <v>2</v>
      </c>
      <c r="C552" s="5">
        <v>0.72</v>
      </c>
      <c r="D552" s="4">
        <v>2</v>
      </c>
      <c r="E552" s="5">
        <v>2.27</v>
      </c>
      <c r="F552" s="4">
        <v>0</v>
      </c>
      <c r="G552" s="5">
        <v>0</v>
      </c>
      <c r="H552" s="4">
        <v>0</v>
      </c>
    </row>
    <row r="553" spans="1:8" x14ac:dyDescent="0.2">
      <c r="A553" s="2" t="s">
        <v>57</v>
      </c>
      <c r="B553" s="4">
        <v>107</v>
      </c>
      <c r="C553" s="5">
        <v>38.630000000000003</v>
      </c>
      <c r="D553" s="4">
        <v>22</v>
      </c>
      <c r="E553" s="5">
        <v>25</v>
      </c>
      <c r="F553" s="4">
        <v>85</v>
      </c>
      <c r="G553" s="5">
        <v>45.21</v>
      </c>
      <c r="H553" s="4">
        <v>0</v>
      </c>
    </row>
    <row r="554" spans="1:8" x14ac:dyDescent="0.2">
      <c r="A554" s="2" t="s">
        <v>58</v>
      </c>
      <c r="B554" s="4">
        <v>3</v>
      </c>
      <c r="C554" s="5">
        <v>1.08</v>
      </c>
      <c r="D554" s="4">
        <v>0</v>
      </c>
      <c r="E554" s="5">
        <v>0</v>
      </c>
      <c r="F554" s="4">
        <v>3</v>
      </c>
      <c r="G554" s="5">
        <v>1.6</v>
      </c>
      <c r="H554" s="4">
        <v>0</v>
      </c>
    </row>
    <row r="555" spans="1:8" x14ac:dyDescent="0.2">
      <c r="A555" s="2" t="s">
        <v>59</v>
      </c>
      <c r="B555" s="4">
        <v>33</v>
      </c>
      <c r="C555" s="5">
        <v>11.91</v>
      </c>
      <c r="D555" s="4">
        <v>18</v>
      </c>
      <c r="E555" s="5">
        <v>20.45</v>
      </c>
      <c r="F555" s="4">
        <v>15</v>
      </c>
      <c r="G555" s="5">
        <v>7.98</v>
      </c>
      <c r="H555" s="4">
        <v>0</v>
      </c>
    </row>
    <row r="556" spans="1:8" x14ac:dyDescent="0.2">
      <c r="A556" s="2" t="s">
        <v>60</v>
      </c>
      <c r="B556" s="4">
        <v>10</v>
      </c>
      <c r="C556" s="5">
        <v>3.61</v>
      </c>
      <c r="D556" s="4">
        <v>2</v>
      </c>
      <c r="E556" s="5">
        <v>2.27</v>
      </c>
      <c r="F556" s="4">
        <v>8</v>
      </c>
      <c r="G556" s="5">
        <v>4.26</v>
      </c>
      <c r="H556" s="4">
        <v>0</v>
      </c>
    </row>
    <row r="557" spans="1:8" x14ac:dyDescent="0.2">
      <c r="A557" s="2" t="s">
        <v>61</v>
      </c>
      <c r="B557" s="4">
        <v>12</v>
      </c>
      <c r="C557" s="5">
        <v>4.33</v>
      </c>
      <c r="D557" s="4">
        <v>5</v>
      </c>
      <c r="E557" s="5">
        <v>5.68</v>
      </c>
      <c r="F557" s="4">
        <v>7</v>
      </c>
      <c r="G557" s="5">
        <v>3.72</v>
      </c>
      <c r="H557" s="4">
        <v>0</v>
      </c>
    </row>
    <row r="558" spans="1:8" x14ac:dyDescent="0.2">
      <c r="A558" s="2" t="s">
        <v>62</v>
      </c>
      <c r="B558" s="4">
        <v>24</v>
      </c>
      <c r="C558" s="5">
        <v>8.66</v>
      </c>
      <c r="D558" s="4">
        <v>12</v>
      </c>
      <c r="E558" s="5">
        <v>13.64</v>
      </c>
      <c r="F558" s="4">
        <v>12</v>
      </c>
      <c r="G558" s="5">
        <v>6.38</v>
      </c>
      <c r="H558" s="4">
        <v>0</v>
      </c>
    </row>
    <row r="559" spans="1:8" x14ac:dyDescent="0.2">
      <c r="A559" s="2" t="s">
        <v>63</v>
      </c>
      <c r="B559" s="4">
        <v>5</v>
      </c>
      <c r="C559" s="5">
        <v>1.81</v>
      </c>
      <c r="D559" s="4">
        <v>4</v>
      </c>
      <c r="E559" s="5">
        <v>4.55</v>
      </c>
      <c r="F559" s="4">
        <v>1</v>
      </c>
      <c r="G559" s="5">
        <v>0.53</v>
      </c>
      <c r="H559" s="4">
        <v>0</v>
      </c>
    </row>
    <row r="560" spans="1:8" x14ac:dyDescent="0.2">
      <c r="A560" s="2" t="s">
        <v>64</v>
      </c>
      <c r="B560" s="4">
        <v>10</v>
      </c>
      <c r="C560" s="5">
        <v>3.61</v>
      </c>
      <c r="D560" s="4">
        <v>3</v>
      </c>
      <c r="E560" s="5">
        <v>3.41</v>
      </c>
      <c r="F560" s="4">
        <v>7</v>
      </c>
      <c r="G560" s="5">
        <v>3.72</v>
      </c>
      <c r="H560" s="4">
        <v>0</v>
      </c>
    </row>
    <row r="561" spans="1:8" x14ac:dyDescent="0.2">
      <c r="A561" s="2" t="s">
        <v>65</v>
      </c>
      <c r="B561" s="4">
        <v>14</v>
      </c>
      <c r="C561" s="5">
        <v>5.05</v>
      </c>
      <c r="D561" s="4">
        <v>5</v>
      </c>
      <c r="E561" s="5">
        <v>5.68</v>
      </c>
      <c r="F561" s="4">
        <v>8</v>
      </c>
      <c r="G561" s="5">
        <v>4.26</v>
      </c>
      <c r="H561" s="4">
        <v>0</v>
      </c>
    </row>
    <row r="562" spans="1:8" x14ac:dyDescent="0.2">
      <c r="A562" s="1" t="s">
        <v>35</v>
      </c>
      <c r="B562" s="4">
        <v>541</v>
      </c>
      <c r="C562" s="5">
        <v>99.990000000000009</v>
      </c>
      <c r="D562" s="4">
        <v>259</v>
      </c>
      <c r="E562" s="5">
        <v>100</v>
      </c>
      <c r="F562" s="4">
        <v>278</v>
      </c>
      <c r="G562" s="5">
        <v>100.01</v>
      </c>
      <c r="H562" s="4">
        <v>2</v>
      </c>
    </row>
    <row r="563" spans="1:8" x14ac:dyDescent="0.2">
      <c r="A563" s="2" t="s">
        <v>51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52</v>
      </c>
      <c r="B564" s="4">
        <v>141</v>
      </c>
      <c r="C564" s="5">
        <v>26.06</v>
      </c>
      <c r="D564" s="4">
        <v>48</v>
      </c>
      <c r="E564" s="5">
        <v>18.53</v>
      </c>
      <c r="F564" s="4">
        <v>93</v>
      </c>
      <c r="G564" s="5">
        <v>33.450000000000003</v>
      </c>
      <c r="H564" s="4">
        <v>0</v>
      </c>
    </row>
    <row r="565" spans="1:8" x14ac:dyDescent="0.2">
      <c r="A565" s="2" t="s">
        <v>53</v>
      </c>
      <c r="B565" s="4">
        <v>36</v>
      </c>
      <c r="C565" s="5">
        <v>6.65</v>
      </c>
      <c r="D565" s="4">
        <v>13</v>
      </c>
      <c r="E565" s="5">
        <v>5.0199999999999996</v>
      </c>
      <c r="F565" s="4">
        <v>23</v>
      </c>
      <c r="G565" s="5">
        <v>8.27</v>
      </c>
      <c r="H565" s="4">
        <v>0</v>
      </c>
    </row>
    <row r="566" spans="1:8" x14ac:dyDescent="0.2">
      <c r="A566" s="2" t="s">
        <v>54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55</v>
      </c>
      <c r="B567" s="4">
        <v>5</v>
      </c>
      <c r="C567" s="5">
        <v>0.92</v>
      </c>
      <c r="D567" s="4">
        <v>0</v>
      </c>
      <c r="E567" s="5">
        <v>0</v>
      </c>
      <c r="F567" s="4">
        <v>5</v>
      </c>
      <c r="G567" s="5">
        <v>1.8</v>
      </c>
      <c r="H567" s="4">
        <v>0</v>
      </c>
    </row>
    <row r="568" spans="1:8" x14ac:dyDescent="0.2">
      <c r="A568" s="2" t="s">
        <v>56</v>
      </c>
      <c r="B568" s="4">
        <v>15</v>
      </c>
      <c r="C568" s="5">
        <v>2.77</v>
      </c>
      <c r="D568" s="4">
        <v>4</v>
      </c>
      <c r="E568" s="5">
        <v>1.54</v>
      </c>
      <c r="F568" s="4">
        <v>11</v>
      </c>
      <c r="G568" s="5">
        <v>3.96</v>
      </c>
      <c r="H568" s="4">
        <v>0</v>
      </c>
    </row>
    <row r="569" spans="1:8" x14ac:dyDescent="0.2">
      <c r="A569" s="2" t="s">
        <v>57</v>
      </c>
      <c r="B569" s="4">
        <v>109</v>
      </c>
      <c r="C569" s="5">
        <v>20.149999999999999</v>
      </c>
      <c r="D569" s="4">
        <v>47</v>
      </c>
      <c r="E569" s="5">
        <v>18.149999999999999</v>
      </c>
      <c r="F569" s="4">
        <v>62</v>
      </c>
      <c r="G569" s="5">
        <v>22.3</v>
      </c>
      <c r="H569" s="4">
        <v>0</v>
      </c>
    </row>
    <row r="570" spans="1:8" x14ac:dyDescent="0.2">
      <c r="A570" s="2" t="s">
        <v>58</v>
      </c>
      <c r="B570" s="4">
        <v>6</v>
      </c>
      <c r="C570" s="5">
        <v>1.1100000000000001</v>
      </c>
      <c r="D570" s="4">
        <v>3</v>
      </c>
      <c r="E570" s="5">
        <v>1.1599999999999999</v>
      </c>
      <c r="F570" s="4">
        <v>3</v>
      </c>
      <c r="G570" s="5">
        <v>1.08</v>
      </c>
      <c r="H570" s="4">
        <v>0</v>
      </c>
    </row>
    <row r="571" spans="1:8" x14ac:dyDescent="0.2">
      <c r="A571" s="2" t="s">
        <v>59</v>
      </c>
      <c r="B571" s="4">
        <v>41</v>
      </c>
      <c r="C571" s="5">
        <v>7.58</v>
      </c>
      <c r="D571" s="4">
        <v>11</v>
      </c>
      <c r="E571" s="5">
        <v>4.25</v>
      </c>
      <c r="F571" s="4">
        <v>28</v>
      </c>
      <c r="G571" s="5">
        <v>10.07</v>
      </c>
      <c r="H571" s="4">
        <v>1</v>
      </c>
    </row>
    <row r="572" spans="1:8" x14ac:dyDescent="0.2">
      <c r="A572" s="2" t="s">
        <v>60</v>
      </c>
      <c r="B572" s="4">
        <v>32</v>
      </c>
      <c r="C572" s="5">
        <v>5.91</v>
      </c>
      <c r="D572" s="4">
        <v>17</v>
      </c>
      <c r="E572" s="5">
        <v>6.56</v>
      </c>
      <c r="F572" s="4">
        <v>15</v>
      </c>
      <c r="G572" s="5">
        <v>5.4</v>
      </c>
      <c r="H572" s="4">
        <v>0</v>
      </c>
    </row>
    <row r="573" spans="1:8" x14ac:dyDescent="0.2">
      <c r="A573" s="2" t="s">
        <v>61</v>
      </c>
      <c r="B573" s="4">
        <v>25</v>
      </c>
      <c r="C573" s="5">
        <v>4.62</v>
      </c>
      <c r="D573" s="4">
        <v>21</v>
      </c>
      <c r="E573" s="5">
        <v>8.11</v>
      </c>
      <c r="F573" s="4">
        <v>4</v>
      </c>
      <c r="G573" s="5">
        <v>1.44</v>
      </c>
      <c r="H573" s="4">
        <v>0</v>
      </c>
    </row>
    <row r="574" spans="1:8" x14ac:dyDescent="0.2">
      <c r="A574" s="2" t="s">
        <v>62</v>
      </c>
      <c r="B574" s="4">
        <v>53</v>
      </c>
      <c r="C574" s="5">
        <v>9.8000000000000007</v>
      </c>
      <c r="D574" s="4">
        <v>44</v>
      </c>
      <c r="E574" s="5">
        <v>16.989999999999998</v>
      </c>
      <c r="F574" s="4">
        <v>8</v>
      </c>
      <c r="G574" s="5">
        <v>2.88</v>
      </c>
      <c r="H574" s="4">
        <v>0</v>
      </c>
    </row>
    <row r="575" spans="1:8" x14ac:dyDescent="0.2">
      <c r="A575" s="2" t="s">
        <v>63</v>
      </c>
      <c r="B575" s="4">
        <v>21</v>
      </c>
      <c r="C575" s="5">
        <v>3.88</v>
      </c>
      <c r="D575" s="4">
        <v>18</v>
      </c>
      <c r="E575" s="5">
        <v>6.95</v>
      </c>
      <c r="F575" s="4">
        <v>3</v>
      </c>
      <c r="G575" s="5">
        <v>1.08</v>
      </c>
      <c r="H575" s="4">
        <v>0</v>
      </c>
    </row>
    <row r="576" spans="1:8" x14ac:dyDescent="0.2">
      <c r="A576" s="2" t="s">
        <v>64</v>
      </c>
      <c r="B576" s="4">
        <v>26</v>
      </c>
      <c r="C576" s="5">
        <v>4.8099999999999996</v>
      </c>
      <c r="D576" s="4">
        <v>18</v>
      </c>
      <c r="E576" s="5">
        <v>6.95</v>
      </c>
      <c r="F576" s="4">
        <v>8</v>
      </c>
      <c r="G576" s="5">
        <v>2.88</v>
      </c>
      <c r="H576" s="4">
        <v>0</v>
      </c>
    </row>
    <row r="577" spans="1:8" x14ac:dyDescent="0.2">
      <c r="A577" s="2" t="s">
        <v>65</v>
      </c>
      <c r="B577" s="4">
        <v>31</v>
      </c>
      <c r="C577" s="5">
        <v>5.73</v>
      </c>
      <c r="D577" s="4">
        <v>15</v>
      </c>
      <c r="E577" s="5">
        <v>5.79</v>
      </c>
      <c r="F577" s="4">
        <v>15</v>
      </c>
      <c r="G577" s="5">
        <v>5.4</v>
      </c>
      <c r="H577" s="4">
        <v>1</v>
      </c>
    </row>
    <row r="578" spans="1:8" x14ac:dyDescent="0.2">
      <c r="A578" s="1" t="s">
        <v>36</v>
      </c>
      <c r="B578" s="4">
        <v>290</v>
      </c>
      <c r="C578" s="5">
        <v>99.97999999999999</v>
      </c>
      <c r="D578" s="4">
        <v>154</v>
      </c>
      <c r="E578" s="5">
        <v>100.01</v>
      </c>
      <c r="F578" s="4">
        <v>136</v>
      </c>
      <c r="G578" s="5">
        <v>100.02</v>
      </c>
      <c r="H578" s="4">
        <v>0</v>
      </c>
    </row>
    <row r="579" spans="1:8" x14ac:dyDescent="0.2">
      <c r="A579" s="2" t="s">
        <v>51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52</v>
      </c>
      <c r="B580" s="4">
        <v>73</v>
      </c>
      <c r="C580" s="5">
        <v>25.17</v>
      </c>
      <c r="D580" s="4">
        <v>29</v>
      </c>
      <c r="E580" s="5">
        <v>18.829999999999998</v>
      </c>
      <c r="F580" s="4">
        <v>44</v>
      </c>
      <c r="G580" s="5">
        <v>32.35</v>
      </c>
      <c r="H580" s="4">
        <v>0</v>
      </c>
    </row>
    <row r="581" spans="1:8" x14ac:dyDescent="0.2">
      <c r="A581" s="2" t="s">
        <v>53</v>
      </c>
      <c r="B581" s="4">
        <v>26</v>
      </c>
      <c r="C581" s="5">
        <v>8.9700000000000006</v>
      </c>
      <c r="D581" s="4">
        <v>7</v>
      </c>
      <c r="E581" s="5">
        <v>4.55</v>
      </c>
      <c r="F581" s="4">
        <v>19</v>
      </c>
      <c r="G581" s="5">
        <v>13.97</v>
      </c>
      <c r="H581" s="4">
        <v>0</v>
      </c>
    </row>
    <row r="582" spans="1:8" x14ac:dyDescent="0.2">
      <c r="A582" s="2" t="s">
        <v>54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55</v>
      </c>
      <c r="B583" s="4">
        <v>1</v>
      </c>
      <c r="C583" s="5">
        <v>0.34</v>
      </c>
      <c r="D583" s="4">
        <v>0</v>
      </c>
      <c r="E583" s="5">
        <v>0</v>
      </c>
      <c r="F583" s="4">
        <v>1</v>
      </c>
      <c r="G583" s="5">
        <v>0.74</v>
      </c>
      <c r="H583" s="4">
        <v>0</v>
      </c>
    </row>
    <row r="584" spans="1:8" x14ac:dyDescent="0.2">
      <c r="A584" s="2" t="s">
        <v>56</v>
      </c>
      <c r="B584" s="4">
        <v>3</v>
      </c>
      <c r="C584" s="5">
        <v>1.03</v>
      </c>
      <c r="D584" s="4">
        <v>0</v>
      </c>
      <c r="E584" s="5">
        <v>0</v>
      </c>
      <c r="F584" s="4">
        <v>3</v>
      </c>
      <c r="G584" s="5">
        <v>2.21</v>
      </c>
      <c r="H584" s="4">
        <v>0</v>
      </c>
    </row>
    <row r="585" spans="1:8" x14ac:dyDescent="0.2">
      <c r="A585" s="2" t="s">
        <v>57</v>
      </c>
      <c r="B585" s="4">
        <v>81</v>
      </c>
      <c r="C585" s="5">
        <v>27.93</v>
      </c>
      <c r="D585" s="4">
        <v>47</v>
      </c>
      <c r="E585" s="5">
        <v>30.52</v>
      </c>
      <c r="F585" s="4">
        <v>34</v>
      </c>
      <c r="G585" s="5">
        <v>25</v>
      </c>
      <c r="H585" s="4">
        <v>0</v>
      </c>
    </row>
    <row r="586" spans="1:8" x14ac:dyDescent="0.2">
      <c r="A586" s="2" t="s">
        <v>58</v>
      </c>
      <c r="B586" s="4">
        <v>1</v>
      </c>
      <c r="C586" s="5">
        <v>0.34</v>
      </c>
      <c r="D586" s="4">
        <v>0</v>
      </c>
      <c r="E586" s="5">
        <v>0</v>
      </c>
      <c r="F586" s="4">
        <v>1</v>
      </c>
      <c r="G586" s="5">
        <v>0.74</v>
      </c>
      <c r="H586" s="4">
        <v>0</v>
      </c>
    </row>
    <row r="587" spans="1:8" x14ac:dyDescent="0.2">
      <c r="A587" s="2" t="s">
        <v>59</v>
      </c>
      <c r="B587" s="4">
        <v>12</v>
      </c>
      <c r="C587" s="5">
        <v>4.1399999999999997</v>
      </c>
      <c r="D587" s="4">
        <v>6</v>
      </c>
      <c r="E587" s="5">
        <v>3.9</v>
      </c>
      <c r="F587" s="4">
        <v>6</v>
      </c>
      <c r="G587" s="5">
        <v>4.41</v>
      </c>
      <c r="H587" s="4">
        <v>0</v>
      </c>
    </row>
    <row r="588" spans="1:8" x14ac:dyDescent="0.2">
      <c r="A588" s="2" t="s">
        <v>60</v>
      </c>
      <c r="B588" s="4">
        <v>5</v>
      </c>
      <c r="C588" s="5">
        <v>1.72</v>
      </c>
      <c r="D588" s="4">
        <v>2</v>
      </c>
      <c r="E588" s="5">
        <v>1.3</v>
      </c>
      <c r="F588" s="4">
        <v>3</v>
      </c>
      <c r="G588" s="5">
        <v>2.21</v>
      </c>
      <c r="H588" s="4">
        <v>0</v>
      </c>
    </row>
    <row r="589" spans="1:8" x14ac:dyDescent="0.2">
      <c r="A589" s="2" t="s">
        <v>61</v>
      </c>
      <c r="B589" s="4">
        <v>15</v>
      </c>
      <c r="C589" s="5">
        <v>5.17</v>
      </c>
      <c r="D589" s="4">
        <v>13</v>
      </c>
      <c r="E589" s="5">
        <v>8.44</v>
      </c>
      <c r="F589" s="4">
        <v>2</v>
      </c>
      <c r="G589" s="5">
        <v>1.47</v>
      </c>
      <c r="H589" s="4">
        <v>0</v>
      </c>
    </row>
    <row r="590" spans="1:8" x14ac:dyDescent="0.2">
      <c r="A590" s="2" t="s">
        <v>62</v>
      </c>
      <c r="B590" s="4">
        <v>35</v>
      </c>
      <c r="C590" s="5">
        <v>12.07</v>
      </c>
      <c r="D590" s="4">
        <v>33</v>
      </c>
      <c r="E590" s="5">
        <v>21.43</v>
      </c>
      <c r="F590" s="4">
        <v>2</v>
      </c>
      <c r="G590" s="5">
        <v>1.47</v>
      </c>
      <c r="H590" s="4">
        <v>0</v>
      </c>
    </row>
    <row r="591" spans="1:8" x14ac:dyDescent="0.2">
      <c r="A591" s="2" t="s">
        <v>63</v>
      </c>
      <c r="B591" s="4">
        <v>4</v>
      </c>
      <c r="C591" s="5">
        <v>1.38</v>
      </c>
      <c r="D591" s="4">
        <v>3</v>
      </c>
      <c r="E591" s="5">
        <v>1.95</v>
      </c>
      <c r="F591" s="4">
        <v>1</v>
      </c>
      <c r="G591" s="5">
        <v>0.74</v>
      </c>
      <c r="H591" s="4">
        <v>0</v>
      </c>
    </row>
    <row r="592" spans="1:8" x14ac:dyDescent="0.2">
      <c r="A592" s="2" t="s">
        <v>64</v>
      </c>
      <c r="B592" s="4">
        <v>13</v>
      </c>
      <c r="C592" s="5">
        <v>4.4800000000000004</v>
      </c>
      <c r="D592" s="4">
        <v>2</v>
      </c>
      <c r="E592" s="5">
        <v>1.3</v>
      </c>
      <c r="F592" s="4">
        <v>11</v>
      </c>
      <c r="G592" s="5">
        <v>8.09</v>
      </c>
      <c r="H592" s="4">
        <v>0</v>
      </c>
    </row>
    <row r="593" spans="1:8" x14ac:dyDescent="0.2">
      <c r="A593" s="2" t="s">
        <v>65</v>
      </c>
      <c r="B593" s="4">
        <v>21</v>
      </c>
      <c r="C593" s="5">
        <v>7.24</v>
      </c>
      <c r="D593" s="4">
        <v>12</v>
      </c>
      <c r="E593" s="5">
        <v>7.79</v>
      </c>
      <c r="F593" s="4">
        <v>9</v>
      </c>
      <c r="G593" s="5">
        <v>6.62</v>
      </c>
      <c r="H593" s="4">
        <v>0</v>
      </c>
    </row>
    <row r="594" spans="1:8" x14ac:dyDescent="0.2">
      <c r="A594" s="1" t="s">
        <v>37</v>
      </c>
      <c r="B594" s="4">
        <v>397</v>
      </c>
      <c r="C594" s="5">
        <v>99.990000000000023</v>
      </c>
      <c r="D594" s="4">
        <v>236</v>
      </c>
      <c r="E594" s="5">
        <v>99.999999999999986</v>
      </c>
      <c r="F594" s="4">
        <v>152</v>
      </c>
      <c r="G594" s="5">
        <v>100.02000000000001</v>
      </c>
      <c r="H594" s="4">
        <v>5</v>
      </c>
    </row>
    <row r="595" spans="1:8" x14ac:dyDescent="0.2">
      <c r="A595" s="2" t="s">
        <v>51</v>
      </c>
      <c r="B595" s="4">
        <v>1</v>
      </c>
      <c r="C595" s="5">
        <v>0.25</v>
      </c>
      <c r="D595" s="4">
        <v>0</v>
      </c>
      <c r="E595" s="5">
        <v>0</v>
      </c>
      <c r="F595" s="4">
        <v>1</v>
      </c>
      <c r="G595" s="5">
        <v>0.66</v>
      </c>
      <c r="H595" s="4">
        <v>0</v>
      </c>
    </row>
    <row r="596" spans="1:8" x14ac:dyDescent="0.2">
      <c r="A596" s="2" t="s">
        <v>52</v>
      </c>
      <c r="B596" s="4">
        <v>48</v>
      </c>
      <c r="C596" s="5">
        <v>12.09</v>
      </c>
      <c r="D596" s="4">
        <v>21</v>
      </c>
      <c r="E596" s="5">
        <v>8.9</v>
      </c>
      <c r="F596" s="4">
        <v>27</v>
      </c>
      <c r="G596" s="5">
        <v>17.760000000000002</v>
      </c>
      <c r="H596" s="4">
        <v>0</v>
      </c>
    </row>
    <row r="597" spans="1:8" x14ac:dyDescent="0.2">
      <c r="A597" s="2" t="s">
        <v>53</v>
      </c>
      <c r="B597" s="4">
        <v>23</v>
      </c>
      <c r="C597" s="5">
        <v>5.79</v>
      </c>
      <c r="D597" s="4">
        <v>8</v>
      </c>
      <c r="E597" s="5">
        <v>3.39</v>
      </c>
      <c r="F597" s="4">
        <v>14</v>
      </c>
      <c r="G597" s="5">
        <v>9.2100000000000009</v>
      </c>
      <c r="H597" s="4">
        <v>1</v>
      </c>
    </row>
    <row r="598" spans="1:8" x14ac:dyDescent="0.2">
      <c r="A598" s="2" t="s">
        <v>54</v>
      </c>
      <c r="B598" s="4">
        <v>1</v>
      </c>
      <c r="C598" s="5">
        <v>0.25</v>
      </c>
      <c r="D598" s="4">
        <v>0</v>
      </c>
      <c r="E598" s="5">
        <v>0</v>
      </c>
      <c r="F598" s="4">
        <v>1</v>
      </c>
      <c r="G598" s="5">
        <v>0.66</v>
      </c>
      <c r="H598" s="4">
        <v>0</v>
      </c>
    </row>
    <row r="599" spans="1:8" x14ac:dyDescent="0.2">
      <c r="A599" s="2" t="s">
        <v>55</v>
      </c>
      <c r="B599" s="4">
        <v>1</v>
      </c>
      <c r="C599" s="5">
        <v>0.25</v>
      </c>
      <c r="D599" s="4">
        <v>0</v>
      </c>
      <c r="E599" s="5">
        <v>0</v>
      </c>
      <c r="F599" s="4">
        <v>1</v>
      </c>
      <c r="G599" s="5">
        <v>0.66</v>
      </c>
      <c r="H599" s="4">
        <v>0</v>
      </c>
    </row>
    <row r="600" spans="1:8" x14ac:dyDescent="0.2">
      <c r="A600" s="2" t="s">
        <v>56</v>
      </c>
      <c r="B600" s="4">
        <v>6</v>
      </c>
      <c r="C600" s="5">
        <v>1.51</v>
      </c>
      <c r="D600" s="4">
        <v>0</v>
      </c>
      <c r="E600" s="5">
        <v>0</v>
      </c>
      <c r="F600" s="4">
        <v>6</v>
      </c>
      <c r="G600" s="5">
        <v>3.95</v>
      </c>
      <c r="H600" s="4">
        <v>0</v>
      </c>
    </row>
    <row r="601" spans="1:8" x14ac:dyDescent="0.2">
      <c r="A601" s="2" t="s">
        <v>57</v>
      </c>
      <c r="B601" s="4">
        <v>121</v>
      </c>
      <c r="C601" s="5">
        <v>30.48</v>
      </c>
      <c r="D601" s="4">
        <v>71</v>
      </c>
      <c r="E601" s="5">
        <v>30.08</v>
      </c>
      <c r="F601" s="4">
        <v>49</v>
      </c>
      <c r="G601" s="5">
        <v>32.24</v>
      </c>
      <c r="H601" s="4">
        <v>1</v>
      </c>
    </row>
    <row r="602" spans="1:8" x14ac:dyDescent="0.2">
      <c r="A602" s="2" t="s">
        <v>58</v>
      </c>
      <c r="B602" s="4">
        <v>1</v>
      </c>
      <c r="C602" s="5">
        <v>0.25</v>
      </c>
      <c r="D602" s="4">
        <v>0</v>
      </c>
      <c r="E602" s="5">
        <v>0</v>
      </c>
      <c r="F602" s="4">
        <v>1</v>
      </c>
      <c r="G602" s="5">
        <v>0.66</v>
      </c>
      <c r="H602" s="4">
        <v>0</v>
      </c>
    </row>
    <row r="603" spans="1:8" x14ac:dyDescent="0.2">
      <c r="A603" s="2" t="s">
        <v>59</v>
      </c>
      <c r="B603" s="4">
        <v>18</v>
      </c>
      <c r="C603" s="5">
        <v>4.53</v>
      </c>
      <c r="D603" s="4">
        <v>11</v>
      </c>
      <c r="E603" s="5">
        <v>4.66</v>
      </c>
      <c r="F603" s="4">
        <v>7</v>
      </c>
      <c r="G603" s="5">
        <v>4.6100000000000003</v>
      </c>
      <c r="H603" s="4">
        <v>0</v>
      </c>
    </row>
    <row r="604" spans="1:8" x14ac:dyDescent="0.2">
      <c r="A604" s="2" t="s">
        <v>60</v>
      </c>
      <c r="B604" s="4">
        <v>20</v>
      </c>
      <c r="C604" s="5">
        <v>5.04</v>
      </c>
      <c r="D604" s="4">
        <v>13</v>
      </c>
      <c r="E604" s="5">
        <v>5.51</v>
      </c>
      <c r="F604" s="4">
        <v>7</v>
      </c>
      <c r="G604" s="5">
        <v>4.6100000000000003</v>
      </c>
      <c r="H604" s="4">
        <v>0</v>
      </c>
    </row>
    <row r="605" spans="1:8" x14ac:dyDescent="0.2">
      <c r="A605" s="2" t="s">
        <v>61</v>
      </c>
      <c r="B605" s="4">
        <v>70</v>
      </c>
      <c r="C605" s="5">
        <v>17.63</v>
      </c>
      <c r="D605" s="4">
        <v>58</v>
      </c>
      <c r="E605" s="5">
        <v>24.58</v>
      </c>
      <c r="F605" s="4">
        <v>10</v>
      </c>
      <c r="G605" s="5">
        <v>6.58</v>
      </c>
      <c r="H605" s="4">
        <v>2</v>
      </c>
    </row>
    <row r="606" spans="1:8" x14ac:dyDescent="0.2">
      <c r="A606" s="2" t="s">
        <v>62</v>
      </c>
      <c r="B606" s="4">
        <v>45</v>
      </c>
      <c r="C606" s="5">
        <v>11.34</v>
      </c>
      <c r="D606" s="4">
        <v>38</v>
      </c>
      <c r="E606" s="5">
        <v>16.100000000000001</v>
      </c>
      <c r="F606" s="4">
        <v>7</v>
      </c>
      <c r="G606" s="5">
        <v>4.6100000000000003</v>
      </c>
      <c r="H606" s="4">
        <v>0</v>
      </c>
    </row>
    <row r="607" spans="1:8" x14ac:dyDescent="0.2">
      <c r="A607" s="2" t="s">
        <v>63</v>
      </c>
      <c r="B607" s="4">
        <v>4</v>
      </c>
      <c r="C607" s="5">
        <v>1.01</v>
      </c>
      <c r="D607" s="4">
        <v>3</v>
      </c>
      <c r="E607" s="5">
        <v>1.27</v>
      </c>
      <c r="F607" s="4">
        <v>1</v>
      </c>
      <c r="G607" s="5">
        <v>0.66</v>
      </c>
      <c r="H607" s="4">
        <v>0</v>
      </c>
    </row>
    <row r="608" spans="1:8" x14ac:dyDescent="0.2">
      <c r="A608" s="2" t="s">
        <v>64</v>
      </c>
      <c r="B608" s="4">
        <v>20</v>
      </c>
      <c r="C608" s="5">
        <v>5.04</v>
      </c>
      <c r="D608" s="4">
        <v>3</v>
      </c>
      <c r="E608" s="5">
        <v>1.27</v>
      </c>
      <c r="F608" s="4">
        <v>12</v>
      </c>
      <c r="G608" s="5">
        <v>7.89</v>
      </c>
      <c r="H608" s="4">
        <v>1</v>
      </c>
    </row>
    <row r="609" spans="1:8" x14ac:dyDescent="0.2">
      <c r="A609" s="2" t="s">
        <v>65</v>
      </c>
      <c r="B609" s="4">
        <v>18</v>
      </c>
      <c r="C609" s="5">
        <v>4.53</v>
      </c>
      <c r="D609" s="4">
        <v>10</v>
      </c>
      <c r="E609" s="5">
        <v>4.24</v>
      </c>
      <c r="F609" s="4">
        <v>8</v>
      </c>
      <c r="G609" s="5">
        <v>5.26</v>
      </c>
      <c r="H609" s="4">
        <v>0</v>
      </c>
    </row>
    <row r="610" spans="1:8" x14ac:dyDescent="0.2">
      <c r="A610" s="1" t="s">
        <v>38</v>
      </c>
      <c r="B610" s="4">
        <v>287</v>
      </c>
      <c r="C610" s="5">
        <v>99.990000000000009</v>
      </c>
      <c r="D610" s="4">
        <v>179</v>
      </c>
      <c r="E610" s="5">
        <v>100.01000000000002</v>
      </c>
      <c r="F610" s="4">
        <v>103</v>
      </c>
      <c r="G610" s="5">
        <v>99.979999999999976</v>
      </c>
      <c r="H610" s="4">
        <v>2</v>
      </c>
    </row>
    <row r="611" spans="1:8" x14ac:dyDescent="0.2">
      <c r="A611" s="2" t="s">
        <v>51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52</v>
      </c>
      <c r="B612" s="4">
        <v>56</v>
      </c>
      <c r="C612" s="5">
        <v>19.510000000000002</v>
      </c>
      <c r="D612" s="4">
        <v>32</v>
      </c>
      <c r="E612" s="5">
        <v>17.88</v>
      </c>
      <c r="F612" s="4">
        <v>24</v>
      </c>
      <c r="G612" s="5">
        <v>23.3</v>
      </c>
      <c r="H612" s="4">
        <v>0</v>
      </c>
    </row>
    <row r="613" spans="1:8" x14ac:dyDescent="0.2">
      <c r="A613" s="2" t="s">
        <v>53</v>
      </c>
      <c r="B613" s="4">
        <v>31</v>
      </c>
      <c r="C613" s="5">
        <v>10.8</v>
      </c>
      <c r="D613" s="4">
        <v>14</v>
      </c>
      <c r="E613" s="5">
        <v>7.82</v>
      </c>
      <c r="F613" s="4">
        <v>17</v>
      </c>
      <c r="G613" s="5">
        <v>16.5</v>
      </c>
      <c r="H613" s="4">
        <v>0</v>
      </c>
    </row>
    <row r="614" spans="1:8" x14ac:dyDescent="0.2">
      <c r="A614" s="2" t="s">
        <v>54</v>
      </c>
      <c r="B614" s="4">
        <v>1</v>
      </c>
      <c r="C614" s="5">
        <v>0.35</v>
      </c>
      <c r="D614" s="4">
        <v>0</v>
      </c>
      <c r="E614" s="5">
        <v>0</v>
      </c>
      <c r="F614" s="4">
        <v>1</v>
      </c>
      <c r="G614" s="5">
        <v>0.97</v>
      </c>
      <c r="H614" s="4">
        <v>0</v>
      </c>
    </row>
    <row r="615" spans="1:8" x14ac:dyDescent="0.2">
      <c r="A615" s="2" t="s">
        <v>55</v>
      </c>
      <c r="B615" s="4">
        <v>4</v>
      </c>
      <c r="C615" s="5">
        <v>1.39</v>
      </c>
      <c r="D615" s="4">
        <v>1</v>
      </c>
      <c r="E615" s="5">
        <v>0.56000000000000005</v>
      </c>
      <c r="F615" s="4">
        <v>3</v>
      </c>
      <c r="G615" s="5">
        <v>2.91</v>
      </c>
      <c r="H615" s="4">
        <v>0</v>
      </c>
    </row>
    <row r="616" spans="1:8" x14ac:dyDescent="0.2">
      <c r="A616" s="2" t="s">
        <v>56</v>
      </c>
      <c r="B616" s="4">
        <v>0</v>
      </c>
      <c r="C616" s="5">
        <v>0</v>
      </c>
      <c r="D616" s="4">
        <v>0</v>
      </c>
      <c r="E616" s="5">
        <v>0</v>
      </c>
      <c r="F616" s="4">
        <v>0</v>
      </c>
      <c r="G616" s="5">
        <v>0</v>
      </c>
      <c r="H616" s="4">
        <v>0</v>
      </c>
    </row>
    <row r="617" spans="1:8" x14ac:dyDescent="0.2">
      <c r="A617" s="2" t="s">
        <v>57</v>
      </c>
      <c r="B617" s="4">
        <v>69</v>
      </c>
      <c r="C617" s="5">
        <v>24.04</v>
      </c>
      <c r="D617" s="4">
        <v>41</v>
      </c>
      <c r="E617" s="5">
        <v>22.91</v>
      </c>
      <c r="F617" s="4">
        <v>28</v>
      </c>
      <c r="G617" s="5">
        <v>27.18</v>
      </c>
      <c r="H617" s="4">
        <v>0</v>
      </c>
    </row>
    <row r="618" spans="1:8" x14ac:dyDescent="0.2">
      <c r="A618" s="2" t="s">
        <v>58</v>
      </c>
      <c r="B618" s="4">
        <v>0</v>
      </c>
      <c r="C618" s="5">
        <v>0</v>
      </c>
      <c r="D618" s="4">
        <v>0</v>
      </c>
      <c r="E618" s="5">
        <v>0</v>
      </c>
      <c r="F618" s="4">
        <v>0</v>
      </c>
      <c r="G618" s="5">
        <v>0</v>
      </c>
      <c r="H618" s="4">
        <v>0</v>
      </c>
    </row>
    <row r="619" spans="1:8" x14ac:dyDescent="0.2">
      <c r="A619" s="2" t="s">
        <v>59</v>
      </c>
      <c r="B619" s="4">
        <v>10</v>
      </c>
      <c r="C619" s="5">
        <v>3.48</v>
      </c>
      <c r="D619" s="4">
        <v>7</v>
      </c>
      <c r="E619" s="5">
        <v>3.91</v>
      </c>
      <c r="F619" s="4">
        <v>3</v>
      </c>
      <c r="G619" s="5">
        <v>2.91</v>
      </c>
      <c r="H619" s="4">
        <v>0</v>
      </c>
    </row>
    <row r="620" spans="1:8" x14ac:dyDescent="0.2">
      <c r="A620" s="2" t="s">
        <v>60</v>
      </c>
      <c r="B620" s="4">
        <v>9</v>
      </c>
      <c r="C620" s="5">
        <v>3.14</v>
      </c>
      <c r="D620" s="4">
        <v>6</v>
      </c>
      <c r="E620" s="5">
        <v>3.35</v>
      </c>
      <c r="F620" s="4">
        <v>3</v>
      </c>
      <c r="G620" s="5">
        <v>2.91</v>
      </c>
      <c r="H620" s="4">
        <v>0</v>
      </c>
    </row>
    <row r="621" spans="1:8" x14ac:dyDescent="0.2">
      <c r="A621" s="2" t="s">
        <v>61</v>
      </c>
      <c r="B621" s="4">
        <v>20</v>
      </c>
      <c r="C621" s="5">
        <v>6.97</v>
      </c>
      <c r="D621" s="4">
        <v>17</v>
      </c>
      <c r="E621" s="5">
        <v>9.5</v>
      </c>
      <c r="F621" s="4">
        <v>3</v>
      </c>
      <c r="G621" s="5">
        <v>2.91</v>
      </c>
      <c r="H621" s="4">
        <v>0</v>
      </c>
    </row>
    <row r="622" spans="1:8" x14ac:dyDescent="0.2">
      <c r="A622" s="2" t="s">
        <v>62</v>
      </c>
      <c r="B622" s="4">
        <v>28</v>
      </c>
      <c r="C622" s="5">
        <v>9.76</v>
      </c>
      <c r="D622" s="4">
        <v>28</v>
      </c>
      <c r="E622" s="5">
        <v>15.64</v>
      </c>
      <c r="F622" s="4">
        <v>0</v>
      </c>
      <c r="G622" s="5">
        <v>0</v>
      </c>
      <c r="H622" s="4">
        <v>0</v>
      </c>
    </row>
    <row r="623" spans="1:8" x14ac:dyDescent="0.2">
      <c r="A623" s="2" t="s">
        <v>63</v>
      </c>
      <c r="B623" s="4">
        <v>12</v>
      </c>
      <c r="C623" s="5">
        <v>4.18</v>
      </c>
      <c r="D623" s="4">
        <v>10</v>
      </c>
      <c r="E623" s="5">
        <v>5.59</v>
      </c>
      <c r="F623" s="4">
        <v>0</v>
      </c>
      <c r="G623" s="5">
        <v>0</v>
      </c>
      <c r="H623" s="4">
        <v>0</v>
      </c>
    </row>
    <row r="624" spans="1:8" x14ac:dyDescent="0.2">
      <c r="A624" s="2" t="s">
        <v>64</v>
      </c>
      <c r="B624" s="4">
        <v>24</v>
      </c>
      <c r="C624" s="5">
        <v>8.36</v>
      </c>
      <c r="D624" s="4">
        <v>10</v>
      </c>
      <c r="E624" s="5">
        <v>5.59</v>
      </c>
      <c r="F624" s="4">
        <v>12</v>
      </c>
      <c r="G624" s="5">
        <v>11.65</v>
      </c>
      <c r="H624" s="4">
        <v>1</v>
      </c>
    </row>
    <row r="625" spans="1:8" x14ac:dyDescent="0.2">
      <c r="A625" s="2" t="s">
        <v>65</v>
      </c>
      <c r="B625" s="4">
        <v>23</v>
      </c>
      <c r="C625" s="5">
        <v>8.01</v>
      </c>
      <c r="D625" s="4">
        <v>13</v>
      </c>
      <c r="E625" s="5">
        <v>7.26</v>
      </c>
      <c r="F625" s="4">
        <v>9</v>
      </c>
      <c r="G625" s="5">
        <v>8.74</v>
      </c>
      <c r="H625" s="4">
        <v>1</v>
      </c>
    </row>
    <row r="626" spans="1:8" x14ac:dyDescent="0.2">
      <c r="A626" s="1" t="s">
        <v>39</v>
      </c>
      <c r="B626" s="4">
        <v>325</v>
      </c>
      <c r="C626" s="5">
        <v>100.00999999999999</v>
      </c>
      <c r="D626" s="4">
        <v>175</v>
      </c>
      <c r="E626" s="5">
        <v>99.99</v>
      </c>
      <c r="F626" s="4">
        <v>144</v>
      </c>
      <c r="G626" s="5">
        <v>100</v>
      </c>
      <c r="H626" s="4">
        <v>2</v>
      </c>
    </row>
    <row r="627" spans="1:8" x14ac:dyDescent="0.2">
      <c r="A627" s="2" t="s">
        <v>51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52</v>
      </c>
      <c r="B628" s="4">
        <v>51</v>
      </c>
      <c r="C628" s="5">
        <v>15.69</v>
      </c>
      <c r="D628" s="4">
        <v>20</v>
      </c>
      <c r="E628" s="5">
        <v>11.43</v>
      </c>
      <c r="F628" s="4">
        <v>31</v>
      </c>
      <c r="G628" s="5">
        <v>21.53</v>
      </c>
      <c r="H628" s="4">
        <v>0</v>
      </c>
    </row>
    <row r="629" spans="1:8" x14ac:dyDescent="0.2">
      <c r="A629" s="2" t="s">
        <v>53</v>
      </c>
      <c r="B629" s="4">
        <v>26</v>
      </c>
      <c r="C629" s="5">
        <v>8</v>
      </c>
      <c r="D629" s="4">
        <v>9</v>
      </c>
      <c r="E629" s="5">
        <v>5.14</v>
      </c>
      <c r="F629" s="4">
        <v>16</v>
      </c>
      <c r="G629" s="5">
        <v>11.11</v>
      </c>
      <c r="H629" s="4">
        <v>1</v>
      </c>
    </row>
    <row r="630" spans="1:8" x14ac:dyDescent="0.2">
      <c r="A630" s="2" t="s">
        <v>54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2">
      <c r="A631" s="2" t="s">
        <v>55</v>
      </c>
      <c r="B631" s="4">
        <v>5</v>
      </c>
      <c r="C631" s="5">
        <v>1.54</v>
      </c>
      <c r="D631" s="4">
        <v>1</v>
      </c>
      <c r="E631" s="5">
        <v>0.56999999999999995</v>
      </c>
      <c r="F631" s="4">
        <v>4</v>
      </c>
      <c r="G631" s="5">
        <v>2.78</v>
      </c>
      <c r="H631" s="4">
        <v>0</v>
      </c>
    </row>
    <row r="632" spans="1:8" x14ac:dyDescent="0.2">
      <c r="A632" s="2" t="s">
        <v>56</v>
      </c>
      <c r="B632" s="4">
        <v>1</v>
      </c>
      <c r="C632" s="5">
        <v>0.31</v>
      </c>
      <c r="D632" s="4">
        <v>0</v>
      </c>
      <c r="E632" s="5">
        <v>0</v>
      </c>
      <c r="F632" s="4">
        <v>1</v>
      </c>
      <c r="G632" s="5">
        <v>0.69</v>
      </c>
      <c r="H632" s="4">
        <v>0</v>
      </c>
    </row>
    <row r="633" spans="1:8" x14ac:dyDescent="0.2">
      <c r="A633" s="2" t="s">
        <v>57</v>
      </c>
      <c r="B633" s="4">
        <v>95</v>
      </c>
      <c r="C633" s="5">
        <v>29.23</v>
      </c>
      <c r="D633" s="4">
        <v>52</v>
      </c>
      <c r="E633" s="5">
        <v>29.71</v>
      </c>
      <c r="F633" s="4">
        <v>43</v>
      </c>
      <c r="G633" s="5">
        <v>29.86</v>
      </c>
      <c r="H633" s="4">
        <v>0</v>
      </c>
    </row>
    <row r="634" spans="1:8" x14ac:dyDescent="0.2">
      <c r="A634" s="2" t="s">
        <v>58</v>
      </c>
      <c r="B634" s="4">
        <v>2</v>
      </c>
      <c r="C634" s="5">
        <v>0.62</v>
      </c>
      <c r="D634" s="4">
        <v>0</v>
      </c>
      <c r="E634" s="5">
        <v>0</v>
      </c>
      <c r="F634" s="4">
        <v>2</v>
      </c>
      <c r="G634" s="5">
        <v>1.39</v>
      </c>
      <c r="H634" s="4">
        <v>0</v>
      </c>
    </row>
    <row r="635" spans="1:8" x14ac:dyDescent="0.2">
      <c r="A635" s="2" t="s">
        <v>59</v>
      </c>
      <c r="B635" s="4">
        <v>9</v>
      </c>
      <c r="C635" s="5">
        <v>2.77</v>
      </c>
      <c r="D635" s="4">
        <v>3</v>
      </c>
      <c r="E635" s="5">
        <v>1.71</v>
      </c>
      <c r="F635" s="4">
        <v>6</v>
      </c>
      <c r="G635" s="5">
        <v>4.17</v>
      </c>
      <c r="H635" s="4">
        <v>0</v>
      </c>
    </row>
    <row r="636" spans="1:8" x14ac:dyDescent="0.2">
      <c r="A636" s="2" t="s">
        <v>60</v>
      </c>
      <c r="B636" s="4">
        <v>4</v>
      </c>
      <c r="C636" s="5">
        <v>1.23</v>
      </c>
      <c r="D636" s="4">
        <v>4</v>
      </c>
      <c r="E636" s="5">
        <v>2.29</v>
      </c>
      <c r="F636" s="4">
        <v>0</v>
      </c>
      <c r="G636" s="5">
        <v>0</v>
      </c>
      <c r="H636" s="4">
        <v>0</v>
      </c>
    </row>
    <row r="637" spans="1:8" x14ac:dyDescent="0.2">
      <c r="A637" s="2" t="s">
        <v>61</v>
      </c>
      <c r="B637" s="4">
        <v>29</v>
      </c>
      <c r="C637" s="5">
        <v>8.92</v>
      </c>
      <c r="D637" s="4">
        <v>23</v>
      </c>
      <c r="E637" s="5">
        <v>13.14</v>
      </c>
      <c r="F637" s="4">
        <v>6</v>
      </c>
      <c r="G637" s="5">
        <v>4.17</v>
      </c>
      <c r="H637" s="4">
        <v>0</v>
      </c>
    </row>
    <row r="638" spans="1:8" x14ac:dyDescent="0.2">
      <c r="A638" s="2" t="s">
        <v>62</v>
      </c>
      <c r="B638" s="4">
        <v>57</v>
      </c>
      <c r="C638" s="5">
        <v>17.54</v>
      </c>
      <c r="D638" s="4">
        <v>46</v>
      </c>
      <c r="E638" s="5">
        <v>26.29</v>
      </c>
      <c r="F638" s="4">
        <v>8</v>
      </c>
      <c r="G638" s="5">
        <v>5.56</v>
      </c>
      <c r="H638" s="4">
        <v>0</v>
      </c>
    </row>
    <row r="639" spans="1:8" x14ac:dyDescent="0.2">
      <c r="A639" s="2" t="s">
        <v>63</v>
      </c>
      <c r="B639" s="4">
        <v>6</v>
      </c>
      <c r="C639" s="5">
        <v>1.85</v>
      </c>
      <c r="D639" s="4">
        <v>3</v>
      </c>
      <c r="E639" s="5">
        <v>1.71</v>
      </c>
      <c r="F639" s="4">
        <v>1</v>
      </c>
      <c r="G639" s="5">
        <v>0.69</v>
      </c>
      <c r="H639" s="4">
        <v>1</v>
      </c>
    </row>
    <row r="640" spans="1:8" x14ac:dyDescent="0.2">
      <c r="A640" s="2" t="s">
        <v>64</v>
      </c>
      <c r="B640" s="4">
        <v>23</v>
      </c>
      <c r="C640" s="5">
        <v>7.08</v>
      </c>
      <c r="D640" s="4">
        <v>9</v>
      </c>
      <c r="E640" s="5">
        <v>5.14</v>
      </c>
      <c r="F640" s="4">
        <v>14</v>
      </c>
      <c r="G640" s="5">
        <v>9.7200000000000006</v>
      </c>
      <c r="H640" s="4">
        <v>0</v>
      </c>
    </row>
    <row r="641" spans="1:8" x14ac:dyDescent="0.2">
      <c r="A641" s="2" t="s">
        <v>65</v>
      </c>
      <c r="B641" s="4">
        <v>17</v>
      </c>
      <c r="C641" s="5">
        <v>5.23</v>
      </c>
      <c r="D641" s="4">
        <v>5</v>
      </c>
      <c r="E641" s="5">
        <v>2.86</v>
      </c>
      <c r="F641" s="4">
        <v>12</v>
      </c>
      <c r="G641" s="5">
        <v>8.33</v>
      </c>
      <c r="H641" s="4">
        <v>0</v>
      </c>
    </row>
    <row r="642" spans="1:8" x14ac:dyDescent="0.2">
      <c r="A642" s="1" t="s">
        <v>40</v>
      </c>
      <c r="B642" s="4">
        <v>78</v>
      </c>
      <c r="C642" s="5">
        <v>99.97</v>
      </c>
      <c r="D642" s="4">
        <v>41</v>
      </c>
      <c r="E642" s="5">
        <v>100.02000000000001</v>
      </c>
      <c r="F642" s="4">
        <v>33</v>
      </c>
      <c r="G642" s="5">
        <v>99.990000000000009</v>
      </c>
      <c r="H642" s="4">
        <v>0</v>
      </c>
    </row>
    <row r="643" spans="1:8" x14ac:dyDescent="0.2">
      <c r="A643" s="2" t="s">
        <v>51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52</v>
      </c>
      <c r="B644" s="4">
        <v>12</v>
      </c>
      <c r="C644" s="5">
        <v>15.38</v>
      </c>
      <c r="D644" s="4">
        <v>5</v>
      </c>
      <c r="E644" s="5">
        <v>12.2</v>
      </c>
      <c r="F644" s="4">
        <v>7</v>
      </c>
      <c r="G644" s="5">
        <v>21.21</v>
      </c>
      <c r="H644" s="4">
        <v>0</v>
      </c>
    </row>
    <row r="645" spans="1:8" x14ac:dyDescent="0.2">
      <c r="A645" s="2" t="s">
        <v>53</v>
      </c>
      <c r="B645" s="4">
        <v>13</v>
      </c>
      <c r="C645" s="5">
        <v>16.670000000000002</v>
      </c>
      <c r="D645" s="4">
        <v>5</v>
      </c>
      <c r="E645" s="5">
        <v>12.2</v>
      </c>
      <c r="F645" s="4">
        <v>8</v>
      </c>
      <c r="G645" s="5">
        <v>24.24</v>
      </c>
      <c r="H645" s="4">
        <v>0</v>
      </c>
    </row>
    <row r="646" spans="1:8" x14ac:dyDescent="0.2">
      <c r="A646" s="2" t="s">
        <v>54</v>
      </c>
      <c r="B646" s="4">
        <v>1</v>
      </c>
      <c r="C646" s="5">
        <v>1.28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2">
      <c r="A647" s="2" t="s">
        <v>55</v>
      </c>
      <c r="B647" s="4">
        <v>1</v>
      </c>
      <c r="C647" s="5">
        <v>1.28</v>
      </c>
      <c r="D647" s="4">
        <v>0</v>
      </c>
      <c r="E647" s="5">
        <v>0</v>
      </c>
      <c r="F647" s="4">
        <v>1</v>
      </c>
      <c r="G647" s="5">
        <v>3.03</v>
      </c>
      <c r="H647" s="4">
        <v>0</v>
      </c>
    </row>
    <row r="648" spans="1:8" x14ac:dyDescent="0.2">
      <c r="A648" s="2" t="s">
        <v>56</v>
      </c>
      <c r="B648" s="4">
        <v>1</v>
      </c>
      <c r="C648" s="5">
        <v>1.28</v>
      </c>
      <c r="D648" s="4">
        <v>0</v>
      </c>
      <c r="E648" s="5">
        <v>0</v>
      </c>
      <c r="F648" s="4">
        <v>1</v>
      </c>
      <c r="G648" s="5">
        <v>3.03</v>
      </c>
      <c r="H648" s="4">
        <v>0</v>
      </c>
    </row>
    <row r="649" spans="1:8" x14ac:dyDescent="0.2">
      <c r="A649" s="2" t="s">
        <v>57</v>
      </c>
      <c r="B649" s="4">
        <v>17</v>
      </c>
      <c r="C649" s="5">
        <v>21.79</v>
      </c>
      <c r="D649" s="4">
        <v>7</v>
      </c>
      <c r="E649" s="5">
        <v>17.07</v>
      </c>
      <c r="F649" s="4">
        <v>10</v>
      </c>
      <c r="G649" s="5">
        <v>30.3</v>
      </c>
      <c r="H649" s="4">
        <v>0</v>
      </c>
    </row>
    <row r="650" spans="1:8" x14ac:dyDescent="0.2">
      <c r="A650" s="2" t="s">
        <v>58</v>
      </c>
      <c r="B650" s="4">
        <v>2</v>
      </c>
      <c r="C650" s="5">
        <v>2.56</v>
      </c>
      <c r="D650" s="4">
        <v>0</v>
      </c>
      <c r="E650" s="5">
        <v>0</v>
      </c>
      <c r="F650" s="4">
        <v>2</v>
      </c>
      <c r="G650" s="5">
        <v>6.06</v>
      </c>
      <c r="H650" s="4">
        <v>0</v>
      </c>
    </row>
    <row r="651" spans="1:8" x14ac:dyDescent="0.2">
      <c r="A651" s="2" t="s">
        <v>59</v>
      </c>
      <c r="B651" s="4">
        <v>2</v>
      </c>
      <c r="C651" s="5">
        <v>2.56</v>
      </c>
      <c r="D651" s="4">
        <v>1</v>
      </c>
      <c r="E651" s="5">
        <v>2.44</v>
      </c>
      <c r="F651" s="4">
        <v>1</v>
      </c>
      <c r="G651" s="5">
        <v>3.03</v>
      </c>
      <c r="H651" s="4">
        <v>0</v>
      </c>
    </row>
    <row r="652" spans="1:8" x14ac:dyDescent="0.2">
      <c r="A652" s="2" t="s">
        <v>60</v>
      </c>
      <c r="B652" s="4">
        <v>1</v>
      </c>
      <c r="C652" s="5">
        <v>1.28</v>
      </c>
      <c r="D652" s="4">
        <v>0</v>
      </c>
      <c r="E652" s="5">
        <v>0</v>
      </c>
      <c r="F652" s="4">
        <v>1</v>
      </c>
      <c r="G652" s="5">
        <v>3.03</v>
      </c>
      <c r="H652" s="4">
        <v>0</v>
      </c>
    </row>
    <row r="653" spans="1:8" x14ac:dyDescent="0.2">
      <c r="A653" s="2" t="s">
        <v>61</v>
      </c>
      <c r="B653" s="4">
        <v>4</v>
      </c>
      <c r="C653" s="5">
        <v>5.13</v>
      </c>
      <c r="D653" s="4">
        <v>4</v>
      </c>
      <c r="E653" s="5">
        <v>9.76</v>
      </c>
      <c r="F653" s="4">
        <v>0</v>
      </c>
      <c r="G653" s="5">
        <v>0</v>
      </c>
      <c r="H653" s="4">
        <v>0</v>
      </c>
    </row>
    <row r="654" spans="1:8" x14ac:dyDescent="0.2">
      <c r="A654" s="2" t="s">
        <v>62</v>
      </c>
      <c r="B654" s="4">
        <v>12</v>
      </c>
      <c r="C654" s="5">
        <v>15.38</v>
      </c>
      <c r="D654" s="4">
        <v>12</v>
      </c>
      <c r="E654" s="5">
        <v>29.27</v>
      </c>
      <c r="F654" s="4">
        <v>0</v>
      </c>
      <c r="G654" s="5">
        <v>0</v>
      </c>
      <c r="H654" s="4">
        <v>0</v>
      </c>
    </row>
    <row r="655" spans="1:8" x14ac:dyDescent="0.2">
      <c r="A655" s="2" t="s">
        <v>63</v>
      </c>
      <c r="B655" s="4">
        <v>2</v>
      </c>
      <c r="C655" s="5">
        <v>2.56</v>
      </c>
      <c r="D655" s="4">
        <v>0</v>
      </c>
      <c r="E655" s="5">
        <v>0</v>
      </c>
      <c r="F655" s="4">
        <v>1</v>
      </c>
      <c r="G655" s="5">
        <v>3.03</v>
      </c>
      <c r="H655" s="4">
        <v>0</v>
      </c>
    </row>
    <row r="656" spans="1:8" x14ac:dyDescent="0.2">
      <c r="A656" s="2" t="s">
        <v>64</v>
      </c>
      <c r="B656" s="4">
        <v>4</v>
      </c>
      <c r="C656" s="5">
        <v>5.13</v>
      </c>
      <c r="D656" s="4">
        <v>4</v>
      </c>
      <c r="E656" s="5">
        <v>9.76</v>
      </c>
      <c r="F656" s="4">
        <v>0</v>
      </c>
      <c r="G656" s="5">
        <v>0</v>
      </c>
      <c r="H656" s="4">
        <v>0</v>
      </c>
    </row>
    <row r="657" spans="1:8" x14ac:dyDescent="0.2">
      <c r="A657" s="2" t="s">
        <v>65</v>
      </c>
      <c r="B657" s="4">
        <v>6</v>
      </c>
      <c r="C657" s="5">
        <v>7.69</v>
      </c>
      <c r="D657" s="4">
        <v>3</v>
      </c>
      <c r="E657" s="5">
        <v>7.32</v>
      </c>
      <c r="F657" s="4">
        <v>1</v>
      </c>
      <c r="G657" s="5">
        <v>3.03</v>
      </c>
      <c r="H657" s="4">
        <v>0</v>
      </c>
    </row>
    <row r="658" spans="1:8" x14ac:dyDescent="0.2">
      <c r="A658" s="1" t="s">
        <v>41</v>
      </c>
      <c r="B658" s="4">
        <v>228</v>
      </c>
      <c r="C658" s="5">
        <v>100</v>
      </c>
      <c r="D658" s="4">
        <v>123</v>
      </c>
      <c r="E658" s="5">
        <v>100</v>
      </c>
      <c r="F658" s="4">
        <v>102</v>
      </c>
      <c r="G658" s="5">
        <v>99.990000000000009</v>
      </c>
      <c r="H658" s="4">
        <v>0</v>
      </c>
    </row>
    <row r="659" spans="1:8" x14ac:dyDescent="0.2">
      <c r="A659" s="2" t="s">
        <v>51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52</v>
      </c>
      <c r="B660" s="4">
        <v>27</v>
      </c>
      <c r="C660" s="5">
        <v>11.84</v>
      </c>
      <c r="D660" s="4">
        <v>10</v>
      </c>
      <c r="E660" s="5">
        <v>8.1300000000000008</v>
      </c>
      <c r="F660" s="4">
        <v>17</v>
      </c>
      <c r="G660" s="5">
        <v>16.670000000000002</v>
      </c>
      <c r="H660" s="4">
        <v>0</v>
      </c>
    </row>
    <row r="661" spans="1:8" x14ac:dyDescent="0.2">
      <c r="A661" s="2" t="s">
        <v>53</v>
      </c>
      <c r="B661" s="4">
        <v>19</v>
      </c>
      <c r="C661" s="5">
        <v>8.33</v>
      </c>
      <c r="D661" s="4">
        <v>13</v>
      </c>
      <c r="E661" s="5">
        <v>10.57</v>
      </c>
      <c r="F661" s="4">
        <v>6</v>
      </c>
      <c r="G661" s="5">
        <v>5.88</v>
      </c>
      <c r="H661" s="4">
        <v>0</v>
      </c>
    </row>
    <row r="662" spans="1:8" x14ac:dyDescent="0.2">
      <c r="A662" s="2" t="s">
        <v>54</v>
      </c>
      <c r="B662" s="4">
        <v>3</v>
      </c>
      <c r="C662" s="5">
        <v>1.32</v>
      </c>
      <c r="D662" s="4">
        <v>0</v>
      </c>
      <c r="E662" s="5">
        <v>0</v>
      </c>
      <c r="F662" s="4">
        <v>3</v>
      </c>
      <c r="G662" s="5">
        <v>2.94</v>
      </c>
      <c r="H662" s="4">
        <v>0</v>
      </c>
    </row>
    <row r="663" spans="1:8" x14ac:dyDescent="0.2">
      <c r="A663" s="2" t="s">
        <v>55</v>
      </c>
      <c r="B663" s="4">
        <v>1</v>
      </c>
      <c r="C663" s="5">
        <v>0.44</v>
      </c>
      <c r="D663" s="4">
        <v>0</v>
      </c>
      <c r="E663" s="5">
        <v>0</v>
      </c>
      <c r="F663" s="4">
        <v>1</v>
      </c>
      <c r="G663" s="5">
        <v>0.98</v>
      </c>
      <c r="H663" s="4">
        <v>0</v>
      </c>
    </row>
    <row r="664" spans="1:8" x14ac:dyDescent="0.2">
      <c r="A664" s="2" t="s">
        <v>56</v>
      </c>
      <c r="B664" s="4">
        <v>1</v>
      </c>
      <c r="C664" s="5">
        <v>0.44</v>
      </c>
      <c r="D664" s="4">
        <v>0</v>
      </c>
      <c r="E664" s="5">
        <v>0</v>
      </c>
      <c r="F664" s="4">
        <v>1</v>
      </c>
      <c r="G664" s="5">
        <v>0.98</v>
      </c>
      <c r="H664" s="4">
        <v>0</v>
      </c>
    </row>
    <row r="665" spans="1:8" x14ac:dyDescent="0.2">
      <c r="A665" s="2" t="s">
        <v>57</v>
      </c>
      <c r="B665" s="4">
        <v>74</v>
      </c>
      <c r="C665" s="5">
        <v>32.46</v>
      </c>
      <c r="D665" s="4">
        <v>32</v>
      </c>
      <c r="E665" s="5">
        <v>26.02</v>
      </c>
      <c r="F665" s="4">
        <v>42</v>
      </c>
      <c r="G665" s="5">
        <v>41.18</v>
      </c>
      <c r="H665" s="4">
        <v>0</v>
      </c>
    </row>
    <row r="666" spans="1:8" x14ac:dyDescent="0.2">
      <c r="A666" s="2" t="s">
        <v>58</v>
      </c>
      <c r="B666" s="4">
        <v>2</v>
      </c>
      <c r="C666" s="5">
        <v>0.88</v>
      </c>
      <c r="D666" s="4">
        <v>1</v>
      </c>
      <c r="E666" s="5">
        <v>0.81</v>
      </c>
      <c r="F666" s="4">
        <v>1</v>
      </c>
      <c r="G666" s="5">
        <v>0.98</v>
      </c>
      <c r="H666" s="4">
        <v>0</v>
      </c>
    </row>
    <row r="667" spans="1:8" x14ac:dyDescent="0.2">
      <c r="A667" s="2" t="s">
        <v>59</v>
      </c>
      <c r="B667" s="4">
        <v>5</v>
      </c>
      <c r="C667" s="5">
        <v>2.19</v>
      </c>
      <c r="D667" s="4">
        <v>1</v>
      </c>
      <c r="E667" s="5">
        <v>0.81</v>
      </c>
      <c r="F667" s="4">
        <v>4</v>
      </c>
      <c r="G667" s="5">
        <v>3.92</v>
      </c>
      <c r="H667" s="4">
        <v>0</v>
      </c>
    </row>
    <row r="668" spans="1:8" x14ac:dyDescent="0.2">
      <c r="A668" s="2" t="s">
        <v>60</v>
      </c>
      <c r="B668" s="4">
        <v>10</v>
      </c>
      <c r="C668" s="5">
        <v>4.3899999999999997</v>
      </c>
      <c r="D668" s="4">
        <v>6</v>
      </c>
      <c r="E668" s="5">
        <v>4.88</v>
      </c>
      <c r="F668" s="4">
        <v>4</v>
      </c>
      <c r="G668" s="5">
        <v>3.92</v>
      </c>
      <c r="H668" s="4">
        <v>0</v>
      </c>
    </row>
    <row r="669" spans="1:8" x14ac:dyDescent="0.2">
      <c r="A669" s="2" t="s">
        <v>61</v>
      </c>
      <c r="B669" s="4">
        <v>23</v>
      </c>
      <c r="C669" s="5">
        <v>10.09</v>
      </c>
      <c r="D669" s="4">
        <v>18</v>
      </c>
      <c r="E669" s="5">
        <v>14.63</v>
      </c>
      <c r="F669" s="4">
        <v>4</v>
      </c>
      <c r="G669" s="5">
        <v>3.92</v>
      </c>
      <c r="H669" s="4">
        <v>0</v>
      </c>
    </row>
    <row r="670" spans="1:8" x14ac:dyDescent="0.2">
      <c r="A670" s="2" t="s">
        <v>62</v>
      </c>
      <c r="B670" s="4">
        <v>34</v>
      </c>
      <c r="C670" s="5">
        <v>14.91</v>
      </c>
      <c r="D670" s="4">
        <v>22</v>
      </c>
      <c r="E670" s="5">
        <v>17.89</v>
      </c>
      <c r="F670" s="4">
        <v>12</v>
      </c>
      <c r="G670" s="5">
        <v>11.76</v>
      </c>
      <c r="H670" s="4">
        <v>0</v>
      </c>
    </row>
    <row r="671" spans="1:8" x14ac:dyDescent="0.2">
      <c r="A671" s="2" t="s">
        <v>63</v>
      </c>
      <c r="B671" s="4">
        <v>4</v>
      </c>
      <c r="C671" s="5">
        <v>1.75</v>
      </c>
      <c r="D671" s="4">
        <v>3</v>
      </c>
      <c r="E671" s="5">
        <v>2.44</v>
      </c>
      <c r="F671" s="4">
        <v>0</v>
      </c>
      <c r="G671" s="5">
        <v>0</v>
      </c>
      <c r="H671" s="4">
        <v>0</v>
      </c>
    </row>
    <row r="672" spans="1:8" x14ac:dyDescent="0.2">
      <c r="A672" s="2" t="s">
        <v>64</v>
      </c>
      <c r="B672" s="4">
        <v>14</v>
      </c>
      <c r="C672" s="5">
        <v>6.14</v>
      </c>
      <c r="D672" s="4">
        <v>9</v>
      </c>
      <c r="E672" s="5">
        <v>7.32</v>
      </c>
      <c r="F672" s="4">
        <v>5</v>
      </c>
      <c r="G672" s="5">
        <v>4.9000000000000004</v>
      </c>
      <c r="H672" s="4">
        <v>0</v>
      </c>
    </row>
    <row r="673" spans="1:8" x14ac:dyDescent="0.2">
      <c r="A673" s="2" t="s">
        <v>65</v>
      </c>
      <c r="B673" s="4">
        <v>11</v>
      </c>
      <c r="C673" s="5">
        <v>4.82</v>
      </c>
      <c r="D673" s="4">
        <v>8</v>
      </c>
      <c r="E673" s="5">
        <v>6.5</v>
      </c>
      <c r="F673" s="4">
        <v>2</v>
      </c>
      <c r="G673" s="5">
        <v>1.96</v>
      </c>
      <c r="H673" s="4">
        <v>0</v>
      </c>
    </row>
    <row r="674" spans="1:8" x14ac:dyDescent="0.2">
      <c r="A674" s="1" t="s">
        <v>42</v>
      </c>
      <c r="B674" s="4">
        <v>260</v>
      </c>
      <c r="C674" s="5">
        <v>99.97999999999999</v>
      </c>
      <c r="D674" s="4">
        <v>177</v>
      </c>
      <c r="E674" s="5">
        <v>99.99</v>
      </c>
      <c r="F674" s="4">
        <v>78</v>
      </c>
      <c r="G674" s="5">
        <v>100</v>
      </c>
      <c r="H674" s="4">
        <v>2</v>
      </c>
    </row>
    <row r="675" spans="1:8" x14ac:dyDescent="0.2">
      <c r="A675" s="2" t="s">
        <v>51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52</v>
      </c>
      <c r="B676" s="4">
        <v>29</v>
      </c>
      <c r="C676" s="5">
        <v>11.15</v>
      </c>
      <c r="D676" s="4">
        <v>16</v>
      </c>
      <c r="E676" s="5">
        <v>9.0399999999999991</v>
      </c>
      <c r="F676" s="4">
        <v>13</v>
      </c>
      <c r="G676" s="5">
        <v>16.670000000000002</v>
      </c>
      <c r="H676" s="4">
        <v>0</v>
      </c>
    </row>
    <row r="677" spans="1:8" x14ac:dyDescent="0.2">
      <c r="A677" s="2" t="s">
        <v>53</v>
      </c>
      <c r="B677" s="4">
        <v>27</v>
      </c>
      <c r="C677" s="5">
        <v>10.38</v>
      </c>
      <c r="D677" s="4">
        <v>14</v>
      </c>
      <c r="E677" s="5">
        <v>7.91</v>
      </c>
      <c r="F677" s="4">
        <v>13</v>
      </c>
      <c r="G677" s="5">
        <v>16.670000000000002</v>
      </c>
      <c r="H677" s="4">
        <v>0</v>
      </c>
    </row>
    <row r="678" spans="1:8" x14ac:dyDescent="0.2">
      <c r="A678" s="2" t="s">
        <v>54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2">
      <c r="A679" s="2" t="s">
        <v>55</v>
      </c>
      <c r="B679" s="4">
        <v>1</v>
      </c>
      <c r="C679" s="5">
        <v>0.38</v>
      </c>
      <c r="D679" s="4">
        <v>0</v>
      </c>
      <c r="E679" s="5">
        <v>0</v>
      </c>
      <c r="F679" s="4">
        <v>1</v>
      </c>
      <c r="G679" s="5">
        <v>1.28</v>
      </c>
      <c r="H679" s="4">
        <v>0</v>
      </c>
    </row>
    <row r="680" spans="1:8" x14ac:dyDescent="0.2">
      <c r="A680" s="2" t="s">
        <v>56</v>
      </c>
      <c r="B680" s="4">
        <v>0</v>
      </c>
      <c r="C680" s="5">
        <v>0</v>
      </c>
      <c r="D680" s="4">
        <v>0</v>
      </c>
      <c r="E680" s="5">
        <v>0</v>
      </c>
      <c r="F680" s="4">
        <v>0</v>
      </c>
      <c r="G680" s="5">
        <v>0</v>
      </c>
      <c r="H680" s="4">
        <v>0</v>
      </c>
    </row>
    <row r="681" spans="1:8" x14ac:dyDescent="0.2">
      <c r="A681" s="2" t="s">
        <v>57</v>
      </c>
      <c r="B681" s="4">
        <v>62</v>
      </c>
      <c r="C681" s="5">
        <v>23.85</v>
      </c>
      <c r="D681" s="4">
        <v>34</v>
      </c>
      <c r="E681" s="5">
        <v>19.21</v>
      </c>
      <c r="F681" s="4">
        <v>28</v>
      </c>
      <c r="G681" s="5">
        <v>35.9</v>
      </c>
      <c r="H681" s="4">
        <v>0</v>
      </c>
    </row>
    <row r="682" spans="1:8" x14ac:dyDescent="0.2">
      <c r="A682" s="2" t="s">
        <v>58</v>
      </c>
      <c r="B682" s="4">
        <v>1</v>
      </c>
      <c r="C682" s="5">
        <v>0.38</v>
      </c>
      <c r="D682" s="4">
        <v>0</v>
      </c>
      <c r="E682" s="5">
        <v>0</v>
      </c>
      <c r="F682" s="4">
        <v>1</v>
      </c>
      <c r="G682" s="5">
        <v>1.28</v>
      </c>
      <c r="H682" s="4">
        <v>0</v>
      </c>
    </row>
    <row r="683" spans="1:8" x14ac:dyDescent="0.2">
      <c r="A683" s="2" t="s">
        <v>59</v>
      </c>
      <c r="B683" s="4">
        <v>8</v>
      </c>
      <c r="C683" s="5">
        <v>3.08</v>
      </c>
      <c r="D683" s="4">
        <v>2</v>
      </c>
      <c r="E683" s="5">
        <v>1.1299999999999999</v>
      </c>
      <c r="F683" s="4">
        <v>6</v>
      </c>
      <c r="G683" s="5">
        <v>7.69</v>
      </c>
      <c r="H683" s="4">
        <v>0</v>
      </c>
    </row>
    <row r="684" spans="1:8" x14ac:dyDescent="0.2">
      <c r="A684" s="2" t="s">
        <v>60</v>
      </c>
      <c r="B684" s="4">
        <v>16</v>
      </c>
      <c r="C684" s="5">
        <v>6.15</v>
      </c>
      <c r="D684" s="4">
        <v>13</v>
      </c>
      <c r="E684" s="5">
        <v>7.34</v>
      </c>
      <c r="F684" s="4">
        <v>3</v>
      </c>
      <c r="G684" s="5">
        <v>3.85</v>
      </c>
      <c r="H684" s="4">
        <v>0</v>
      </c>
    </row>
    <row r="685" spans="1:8" x14ac:dyDescent="0.2">
      <c r="A685" s="2" t="s">
        <v>61</v>
      </c>
      <c r="B685" s="4">
        <v>40</v>
      </c>
      <c r="C685" s="5">
        <v>15.38</v>
      </c>
      <c r="D685" s="4">
        <v>38</v>
      </c>
      <c r="E685" s="5">
        <v>21.47</v>
      </c>
      <c r="F685" s="4">
        <v>1</v>
      </c>
      <c r="G685" s="5">
        <v>1.28</v>
      </c>
      <c r="H685" s="4">
        <v>0</v>
      </c>
    </row>
    <row r="686" spans="1:8" x14ac:dyDescent="0.2">
      <c r="A686" s="2" t="s">
        <v>62</v>
      </c>
      <c r="B686" s="4">
        <v>53</v>
      </c>
      <c r="C686" s="5">
        <v>20.38</v>
      </c>
      <c r="D686" s="4">
        <v>47</v>
      </c>
      <c r="E686" s="5">
        <v>26.55</v>
      </c>
      <c r="F686" s="4">
        <v>5</v>
      </c>
      <c r="G686" s="5">
        <v>6.41</v>
      </c>
      <c r="H686" s="4">
        <v>0</v>
      </c>
    </row>
    <row r="687" spans="1:8" x14ac:dyDescent="0.2">
      <c r="A687" s="2" t="s">
        <v>63</v>
      </c>
      <c r="B687" s="4">
        <v>8</v>
      </c>
      <c r="C687" s="5">
        <v>3.08</v>
      </c>
      <c r="D687" s="4">
        <v>4</v>
      </c>
      <c r="E687" s="5">
        <v>2.2599999999999998</v>
      </c>
      <c r="F687" s="4">
        <v>2</v>
      </c>
      <c r="G687" s="5">
        <v>2.56</v>
      </c>
      <c r="H687" s="4">
        <v>1</v>
      </c>
    </row>
    <row r="688" spans="1:8" x14ac:dyDescent="0.2">
      <c r="A688" s="2" t="s">
        <v>64</v>
      </c>
      <c r="B688" s="4">
        <v>6</v>
      </c>
      <c r="C688" s="5">
        <v>2.31</v>
      </c>
      <c r="D688" s="4">
        <v>3</v>
      </c>
      <c r="E688" s="5">
        <v>1.69</v>
      </c>
      <c r="F688" s="4">
        <v>3</v>
      </c>
      <c r="G688" s="5">
        <v>3.85</v>
      </c>
      <c r="H688" s="4">
        <v>0</v>
      </c>
    </row>
    <row r="689" spans="1:8" x14ac:dyDescent="0.2">
      <c r="A689" s="2" t="s">
        <v>65</v>
      </c>
      <c r="B689" s="4">
        <v>9</v>
      </c>
      <c r="C689" s="5">
        <v>3.46</v>
      </c>
      <c r="D689" s="4">
        <v>6</v>
      </c>
      <c r="E689" s="5">
        <v>3.39</v>
      </c>
      <c r="F689" s="4">
        <v>2</v>
      </c>
      <c r="G689" s="5">
        <v>2.56</v>
      </c>
      <c r="H689" s="4">
        <v>1</v>
      </c>
    </row>
    <row r="690" spans="1:8" x14ac:dyDescent="0.2">
      <c r="A690" s="1" t="s">
        <v>43</v>
      </c>
      <c r="B690" s="4">
        <v>115</v>
      </c>
      <c r="C690" s="5">
        <v>100</v>
      </c>
      <c r="D690" s="4">
        <v>74</v>
      </c>
      <c r="E690" s="5">
        <v>99.990000000000009</v>
      </c>
      <c r="F690" s="4">
        <v>38</v>
      </c>
      <c r="G690" s="5">
        <v>99.99</v>
      </c>
      <c r="H690" s="4">
        <v>0</v>
      </c>
    </row>
    <row r="691" spans="1:8" x14ac:dyDescent="0.2">
      <c r="A691" s="2" t="s">
        <v>51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52</v>
      </c>
      <c r="B692" s="4">
        <v>17</v>
      </c>
      <c r="C692" s="5">
        <v>14.78</v>
      </c>
      <c r="D692" s="4">
        <v>8</v>
      </c>
      <c r="E692" s="5">
        <v>10.81</v>
      </c>
      <c r="F692" s="4">
        <v>9</v>
      </c>
      <c r="G692" s="5">
        <v>23.68</v>
      </c>
      <c r="H692" s="4">
        <v>0</v>
      </c>
    </row>
    <row r="693" spans="1:8" x14ac:dyDescent="0.2">
      <c r="A693" s="2" t="s">
        <v>53</v>
      </c>
      <c r="B693" s="4">
        <v>12</v>
      </c>
      <c r="C693" s="5">
        <v>10.43</v>
      </c>
      <c r="D693" s="4">
        <v>3</v>
      </c>
      <c r="E693" s="5">
        <v>4.05</v>
      </c>
      <c r="F693" s="4">
        <v>9</v>
      </c>
      <c r="G693" s="5">
        <v>23.68</v>
      </c>
      <c r="H693" s="4">
        <v>0</v>
      </c>
    </row>
    <row r="694" spans="1:8" x14ac:dyDescent="0.2">
      <c r="A694" s="2" t="s">
        <v>54</v>
      </c>
      <c r="B694" s="4">
        <v>2</v>
      </c>
      <c r="C694" s="5">
        <v>1.74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55</v>
      </c>
      <c r="B695" s="4">
        <v>1</v>
      </c>
      <c r="C695" s="5">
        <v>0.87</v>
      </c>
      <c r="D695" s="4">
        <v>0</v>
      </c>
      <c r="E695" s="5">
        <v>0</v>
      </c>
      <c r="F695" s="4">
        <v>1</v>
      </c>
      <c r="G695" s="5">
        <v>2.63</v>
      </c>
      <c r="H695" s="4">
        <v>0</v>
      </c>
    </row>
    <row r="696" spans="1:8" x14ac:dyDescent="0.2">
      <c r="A696" s="2" t="s">
        <v>56</v>
      </c>
      <c r="B696" s="4">
        <v>1</v>
      </c>
      <c r="C696" s="5">
        <v>0.87</v>
      </c>
      <c r="D696" s="4">
        <v>0</v>
      </c>
      <c r="E696" s="5">
        <v>0</v>
      </c>
      <c r="F696" s="4">
        <v>1</v>
      </c>
      <c r="G696" s="5">
        <v>2.63</v>
      </c>
      <c r="H696" s="4">
        <v>0</v>
      </c>
    </row>
    <row r="697" spans="1:8" x14ac:dyDescent="0.2">
      <c r="A697" s="2" t="s">
        <v>57</v>
      </c>
      <c r="B697" s="4">
        <v>35</v>
      </c>
      <c r="C697" s="5">
        <v>30.43</v>
      </c>
      <c r="D697" s="4">
        <v>28</v>
      </c>
      <c r="E697" s="5">
        <v>37.840000000000003</v>
      </c>
      <c r="F697" s="4">
        <v>7</v>
      </c>
      <c r="G697" s="5">
        <v>18.420000000000002</v>
      </c>
      <c r="H697" s="4">
        <v>0</v>
      </c>
    </row>
    <row r="698" spans="1:8" x14ac:dyDescent="0.2">
      <c r="A698" s="2" t="s">
        <v>58</v>
      </c>
      <c r="B698" s="4">
        <v>0</v>
      </c>
      <c r="C698" s="5">
        <v>0</v>
      </c>
      <c r="D698" s="4">
        <v>0</v>
      </c>
      <c r="E698" s="5">
        <v>0</v>
      </c>
      <c r="F698" s="4">
        <v>0</v>
      </c>
      <c r="G698" s="5">
        <v>0</v>
      </c>
      <c r="H698" s="4">
        <v>0</v>
      </c>
    </row>
    <row r="699" spans="1:8" x14ac:dyDescent="0.2">
      <c r="A699" s="2" t="s">
        <v>59</v>
      </c>
      <c r="B699" s="4">
        <v>0</v>
      </c>
      <c r="C699" s="5">
        <v>0</v>
      </c>
      <c r="D699" s="4">
        <v>0</v>
      </c>
      <c r="E699" s="5">
        <v>0</v>
      </c>
      <c r="F699" s="4">
        <v>0</v>
      </c>
      <c r="G699" s="5">
        <v>0</v>
      </c>
      <c r="H699" s="4">
        <v>0</v>
      </c>
    </row>
    <row r="700" spans="1:8" x14ac:dyDescent="0.2">
      <c r="A700" s="2" t="s">
        <v>60</v>
      </c>
      <c r="B700" s="4">
        <v>2</v>
      </c>
      <c r="C700" s="5">
        <v>1.74</v>
      </c>
      <c r="D700" s="4">
        <v>2</v>
      </c>
      <c r="E700" s="5">
        <v>2.7</v>
      </c>
      <c r="F700" s="4">
        <v>0</v>
      </c>
      <c r="G700" s="5">
        <v>0</v>
      </c>
      <c r="H700" s="4">
        <v>0</v>
      </c>
    </row>
    <row r="701" spans="1:8" x14ac:dyDescent="0.2">
      <c r="A701" s="2" t="s">
        <v>61</v>
      </c>
      <c r="B701" s="4">
        <v>8</v>
      </c>
      <c r="C701" s="5">
        <v>6.96</v>
      </c>
      <c r="D701" s="4">
        <v>7</v>
      </c>
      <c r="E701" s="5">
        <v>9.4600000000000009</v>
      </c>
      <c r="F701" s="4">
        <v>1</v>
      </c>
      <c r="G701" s="5">
        <v>2.63</v>
      </c>
      <c r="H701" s="4">
        <v>0</v>
      </c>
    </row>
    <row r="702" spans="1:8" x14ac:dyDescent="0.2">
      <c r="A702" s="2" t="s">
        <v>62</v>
      </c>
      <c r="B702" s="4">
        <v>22</v>
      </c>
      <c r="C702" s="5">
        <v>19.13</v>
      </c>
      <c r="D702" s="4">
        <v>17</v>
      </c>
      <c r="E702" s="5">
        <v>22.97</v>
      </c>
      <c r="F702" s="4">
        <v>4</v>
      </c>
      <c r="G702" s="5">
        <v>10.53</v>
      </c>
      <c r="H702" s="4">
        <v>0</v>
      </c>
    </row>
    <row r="703" spans="1:8" x14ac:dyDescent="0.2">
      <c r="A703" s="2" t="s">
        <v>63</v>
      </c>
      <c r="B703" s="4">
        <v>6</v>
      </c>
      <c r="C703" s="5">
        <v>5.22</v>
      </c>
      <c r="D703" s="4">
        <v>6</v>
      </c>
      <c r="E703" s="5">
        <v>8.11</v>
      </c>
      <c r="F703" s="4">
        <v>0</v>
      </c>
      <c r="G703" s="5">
        <v>0</v>
      </c>
      <c r="H703" s="4">
        <v>0</v>
      </c>
    </row>
    <row r="704" spans="1:8" x14ac:dyDescent="0.2">
      <c r="A704" s="2" t="s">
        <v>64</v>
      </c>
      <c r="B704" s="4">
        <v>2</v>
      </c>
      <c r="C704" s="5">
        <v>1.74</v>
      </c>
      <c r="D704" s="4">
        <v>1</v>
      </c>
      <c r="E704" s="5">
        <v>1.35</v>
      </c>
      <c r="F704" s="4">
        <v>1</v>
      </c>
      <c r="G704" s="5">
        <v>2.63</v>
      </c>
      <c r="H704" s="4">
        <v>0</v>
      </c>
    </row>
    <row r="705" spans="1:8" x14ac:dyDescent="0.2">
      <c r="A705" s="2" t="s">
        <v>65</v>
      </c>
      <c r="B705" s="4">
        <v>7</v>
      </c>
      <c r="C705" s="5">
        <v>6.09</v>
      </c>
      <c r="D705" s="4">
        <v>2</v>
      </c>
      <c r="E705" s="5">
        <v>2.7</v>
      </c>
      <c r="F705" s="4">
        <v>5</v>
      </c>
      <c r="G705" s="5">
        <v>13.16</v>
      </c>
      <c r="H705" s="4">
        <v>0</v>
      </c>
    </row>
    <row r="706" spans="1:8" x14ac:dyDescent="0.2">
      <c r="A706" s="1" t="s">
        <v>44</v>
      </c>
      <c r="B706" s="4">
        <v>62</v>
      </c>
      <c r="C706" s="5">
        <v>100</v>
      </c>
      <c r="D706" s="4">
        <v>47</v>
      </c>
      <c r="E706" s="5">
        <v>99.99</v>
      </c>
      <c r="F706" s="4">
        <v>13</v>
      </c>
      <c r="G706" s="5">
        <v>99.99</v>
      </c>
      <c r="H706" s="4">
        <v>0</v>
      </c>
    </row>
    <row r="707" spans="1:8" x14ac:dyDescent="0.2">
      <c r="A707" s="2" t="s">
        <v>51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52</v>
      </c>
      <c r="B708" s="4">
        <v>6</v>
      </c>
      <c r="C708" s="5">
        <v>9.68</v>
      </c>
      <c r="D708" s="4">
        <v>4</v>
      </c>
      <c r="E708" s="5">
        <v>8.51</v>
      </c>
      <c r="F708" s="4">
        <v>2</v>
      </c>
      <c r="G708" s="5">
        <v>15.38</v>
      </c>
      <c r="H708" s="4">
        <v>0</v>
      </c>
    </row>
    <row r="709" spans="1:8" x14ac:dyDescent="0.2">
      <c r="A709" s="2" t="s">
        <v>53</v>
      </c>
      <c r="B709" s="4">
        <v>6</v>
      </c>
      <c r="C709" s="5">
        <v>9.68</v>
      </c>
      <c r="D709" s="4">
        <v>3</v>
      </c>
      <c r="E709" s="5">
        <v>6.38</v>
      </c>
      <c r="F709" s="4">
        <v>3</v>
      </c>
      <c r="G709" s="5">
        <v>23.08</v>
      </c>
      <c r="H709" s="4">
        <v>0</v>
      </c>
    </row>
    <row r="710" spans="1:8" x14ac:dyDescent="0.2">
      <c r="A710" s="2" t="s">
        <v>54</v>
      </c>
      <c r="B710" s="4">
        <v>1</v>
      </c>
      <c r="C710" s="5">
        <v>1.61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55</v>
      </c>
      <c r="B711" s="4">
        <v>1</v>
      </c>
      <c r="C711" s="5">
        <v>1.61</v>
      </c>
      <c r="D711" s="4">
        <v>1</v>
      </c>
      <c r="E711" s="5">
        <v>2.13</v>
      </c>
      <c r="F711" s="4">
        <v>0</v>
      </c>
      <c r="G711" s="5">
        <v>0</v>
      </c>
      <c r="H711" s="4">
        <v>0</v>
      </c>
    </row>
    <row r="712" spans="1:8" x14ac:dyDescent="0.2">
      <c r="A712" s="2" t="s">
        <v>56</v>
      </c>
      <c r="B712" s="4">
        <v>0</v>
      </c>
      <c r="C712" s="5">
        <v>0</v>
      </c>
      <c r="D712" s="4">
        <v>0</v>
      </c>
      <c r="E712" s="5">
        <v>0</v>
      </c>
      <c r="F712" s="4">
        <v>0</v>
      </c>
      <c r="G712" s="5">
        <v>0</v>
      </c>
      <c r="H712" s="4">
        <v>0</v>
      </c>
    </row>
    <row r="713" spans="1:8" x14ac:dyDescent="0.2">
      <c r="A713" s="2" t="s">
        <v>57</v>
      </c>
      <c r="B713" s="4">
        <v>15</v>
      </c>
      <c r="C713" s="5">
        <v>24.19</v>
      </c>
      <c r="D713" s="4">
        <v>12</v>
      </c>
      <c r="E713" s="5">
        <v>25.53</v>
      </c>
      <c r="F713" s="4">
        <v>3</v>
      </c>
      <c r="G713" s="5">
        <v>23.08</v>
      </c>
      <c r="H713" s="4">
        <v>0</v>
      </c>
    </row>
    <row r="714" spans="1:8" x14ac:dyDescent="0.2">
      <c r="A714" s="2" t="s">
        <v>58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2">
      <c r="A715" s="2" t="s">
        <v>59</v>
      </c>
      <c r="B715" s="4">
        <v>1</v>
      </c>
      <c r="C715" s="5">
        <v>1.61</v>
      </c>
      <c r="D715" s="4">
        <v>0</v>
      </c>
      <c r="E715" s="5">
        <v>0</v>
      </c>
      <c r="F715" s="4">
        <v>1</v>
      </c>
      <c r="G715" s="5">
        <v>7.69</v>
      </c>
      <c r="H715" s="4">
        <v>0</v>
      </c>
    </row>
    <row r="716" spans="1:8" x14ac:dyDescent="0.2">
      <c r="A716" s="2" t="s">
        <v>60</v>
      </c>
      <c r="B716" s="4">
        <v>1</v>
      </c>
      <c r="C716" s="5">
        <v>1.61</v>
      </c>
      <c r="D716" s="4">
        <v>0</v>
      </c>
      <c r="E716" s="5">
        <v>0</v>
      </c>
      <c r="F716" s="4">
        <v>1</v>
      </c>
      <c r="G716" s="5">
        <v>7.69</v>
      </c>
      <c r="H716" s="4">
        <v>0</v>
      </c>
    </row>
    <row r="717" spans="1:8" x14ac:dyDescent="0.2">
      <c r="A717" s="2" t="s">
        <v>61</v>
      </c>
      <c r="B717" s="4">
        <v>16</v>
      </c>
      <c r="C717" s="5">
        <v>25.81</v>
      </c>
      <c r="D717" s="4">
        <v>15</v>
      </c>
      <c r="E717" s="5">
        <v>31.91</v>
      </c>
      <c r="F717" s="4">
        <v>1</v>
      </c>
      <c r="G717" s="5">
        <v>7.69</v>
      </c>
      <c r="H717" s="4">
        <v>0</v>
      </c>
    </row>
    <row r="718" spans="1:8" x14ac:dyDescent="0.2">
      <c r="A718" s="2" t="s">
        <v>62</v>
      </c>
      <c r="B718" s="4">
        <v>9</v>
      </c>
      <c r="C718" s="5">
        <v>14.52</v>
      </c>
      <c r="D718" s="4">
        <v>7</v>
      </c>
      <c r="E718" s="5">
        <v>14.89</v>
      </c>
      <c r="F718" s="4">
        <v>1</v>
      </c>
      <c r="G718" s="5">
        <v>7.69</v>
      </c>
      <c r="H718" s="4">
        <v>0</v>
      </c>
    </row>
    <row r="719" spans="1:8" x14ac:dyDescent="0.2">
      <c r="A719" s="2" t="s">
        <v>63</v>
      </c>
      <c r="B719" s="4">
        <v>2</v>
      </c>
      <c r="C719" s="5">
        <v>3.23</v>
      </c>
      <c r="D719" s="4">
        <v>2</v>
      </c>
      <c r="E719" s="5">
        <v>4.26</v>
      </c>
      <c r="F719" s="4">
        <v>0</v>
      </c>
      <c r="G719" s="5">
        <v>0</v>
      </c>
      <c r="H719" s="4">
        <v>0</v>
      </c>
    </row>
    <row r="720" spans="1:8" x14ac:dyDescent="0.2">
      <c r="A720" s="2" t="s">
        <v>64</v>
      </c>
      <c r="B720" s="4">
        <v>3</v>
      </c>
      <c r="C720" s="5">
        <v>4.84</v>
      </c>
      <c r="D720" s="4">
        <v>3</v>
      </c>
      <c r="E720" s="5">
        <v>6.38</v>
      </c>
      <c r="F720" s="4">
        <v>0</v>
      </c>
      <c r="G720" s="5">
        <v>0</v>
      </c>
      <c r="H720" s="4">
        <v>0</v>
      </c>
    </row>
    <row r="721" spans="1:8" x14ac:dyDescent="0.2">
      <c r="A721" s="2" t="s">
        <v>65</v>
      </c>
      <c r="B721" s="4">
        <v>1</v>
      </c>
      <c r="C721" s="5">
        <v>1.61</v>
      </c>
      <c r="D721" s="4">
        <v>0</v>
      </c>
      <c r="E721" s="5">
        <v>0</v>
      </c>
      <c r="F721" s="4">
        <v>1</v>
      </c>
      <c r="G721" s="5">
        <v>7.69</v>
      </c>
      <c r="H721" s="4">
        <v>0</v>
      </c>
    </row>
    <row r="722" spans="1:8" x14ac:dyDescent="0.2">
      <c r="A722" s="1" t="s">
        <v>45</v>
      </c>
      <c r="B722" s="4">
        <v>106</v>
      </c>
      <c r="C722" s="5">
        <v>99.989999999999981</v>
      </c>
      <c r="D722" s="4">
        <v>70</v>
      </c>
      <c r="E722" s="5">
        <v>99.999999999999986</v>
      </c>
      <c r="F722" s="4">
        <v>33</v>
      </c>
      <c r="G722" s="5">
        <v>99.99</v>
      </c>
      <c r="H722" s="4">
        <v>2</v>
      </c>
    </row>
    <row r="723" spans="1:8" x14ac:dyDescent="0.2">
      <c r="A723" s="2" t="s">
        <v>51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52</v>
      </c>
      <c r="B724" s="4">
        <v>22</v>
      </c>
      <c r="C724" s="5">
        <v>20.75</v>
      </c>
      <c r="D724" s="4">
        <v>17</v>
      </c>
      <c r="E724" s="5">
        <v>24.29</v>
      </c>
      <c r="F724" s="4">
        <v>5</v>
      </c>
      <c r="G724" s="5">
        <v>15.15</v>
      </c>
      <c r="H724" s="4">
        <v>0</v>
      </c>
    </row>
    <row r="725" spans="1:8" x14ac:dyDescent="0.2">
      <c r="A725" s="2" t="s">
        <v>53</v>
      </c>
      <c r="B725" s="4">
        <v>21</v>
      </c>
      <c r="C725" s="5">
        <v>19.809999999999999</v>
      </c>
      <c r="D725" s="4">
        <v>5</v>
      </c>
      <c r="E725" s="5">
        <v>7.14</v>
      </c>
      <c r="F725" s="4">
        <v>16</v>
      </c>
      <c r="G725" s="5">
        <v>48.48</v>
      </c>
      <c r="H725" s="4">
        <v>0</v>
      </c>
    </row>
    <row r="726" spans="1:8" x14ac:dyDescent="0.2">
      <c r="A726" s="2" t="s">
        <v>54</v>
      </c>
      <c r="B726" s="4">
        <v>1</v>
      </c>
      <c r="C726" s="5">
        <v>0.94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2">
      <c r="A727" s="2" t="s">
        <v>55</v>
      </c>
      <c r="B727" s="4">
        <v>0</v>
      </c>
      <c r="C727" s="5">
        <v>0</v>
      </c>
      <c r="D727" s="4">
        <v>0</v>
      </c>
      <c r="E727" s="5">
        <v>0</v>
      </c>
      <c r="F727" s="4">
        <v>0</v>
      </c>
      <c r="G727" s="5">
        <v>0</v>
      </c>
      <c r="H727" s="4">
        <v>0</v>
      </c>
    </row>
    <row r="728" spans="1:8" x14ac:dyDescent="0.2">
      <c r="A728" s="2" t="s">
        <v>56</v>
      </c>
      <c r="B728" s="4">
        <v>0</v>
      </c>
      <c r="C728" s="5">
        <v>0</v>
      </c>
      <c r="D728" s="4">
        <v>0</v>
      </c>
      <c r="E728" s="5">
        <v>0</v>
      </c>
      <c r="F728" s="4">
        <v>0</v>
      </c>
      <c r="G728" s="5">
        <v>0</v>
      </c>
      <c r="H728" s="4">
        <v>0</v>
      </c>
    </row>
    <row r="729" spans="1:8" x14ac:dyDescent="0.2">
      <c r="A729" s="2" t="s">
        <v>57</v>
      </c>
      <c r="B729" s="4">
        <v>28</v>
      </c>
      <c r="C729" s="5">
        <v>26.42</v>
      </c>
      <c r="D729" s="4">
        <v>20</v>
      </c>
      <c r="E729" s="5">
        <v>28.57</v>
      </c>
      <c r="F729" s="4">
        <v>8</v>
      </c>
      <c r="G729" s="5">
        <v>24.24</v>
      </c>
      <c r="H729" s="4">
        <v>0</v>
      </c>
    </row>
    <row r="730" spans="1:8" x14ac:dyDescent="0.2">
      <c r="A730" s="2" t="s">
        <v>58</v>
      </c>
      <c r="B730" s="4">
        <v>0</v>
      </c>
      <c r="C730" s="5">
        <v>0</v>
      </c>
      <c r="D730" s="4">
        <v>0</v>
      </c>
      <c r="E730" s="5">
        <v>0</v>
      </c>
      <c r="F730" s="4">
        <v>0</v>
      </c>
      <c r="G730" s="5">
        <v>0</v>
      </c>
      <c r="H730" s="4">
        <v>0</v>
      </c>
    </row>
    <row r="731" spans="1:8" x14ac:dyDescent="0.2">
      <c r="A731" s="2" t="s">
        <v>59</v>
      </c>
      <c r="B731" s="4">
        <v>4</v>
      </c>
      <c r="C731" s="5">
        <v>3.77</v>
      </c>
      <c r="D731" s="4">
        <v>2</v>
      </c>
      <c r="E731" s="5">
        <v>2.86</v>
      </c>
      <c r="F731" s="4">
        <v>2</v>
      </c>
      <c r="G731" s="5">
        <v>6.06</v>
      </c>
      <c r="H731" s="4">
        <v>0</v>
      </c>
    </row>
    <row r="732" spans="1:8" x14ac:dyDescent="0.2">
      <c r="A732" s="2" t="s">
        <v>60</v>
      </c>
      <c r="B732" s="4">
        <v>3</v>
      </c>
      <c r="C732" s="5">
        <v>2.83</v>
      </c>
      <c r="D732" s="4">
        <v>2</v>
      </c>
      <c r="E732" s="5">
        <v>2.86</v>
      </c>
      <c r="F732" s="4">
        <v>0</v>
      </c>
      <c r="G732" s="5">
        <v>0</v>
      </c>
      <c r="H732" s="4">
        <v>1</v>
      </c>
    </row>
    <row r="733" spans="1:8" x14ac:dyDescent="0.2">
      <c r="A733" s="2" t="s">
        <v>61</v>
      </c>
      <c r="B733" s="4">
        <v>5</v>
      </c>
      <c r="C733" s="5">
        <v>4.72</v>
      </c>
      <c r="D733" s="4">
        <v>5</v>
      </c>
      <c r="E733" s="5">
        <v>7.14</v>
      </c>
      <c r="F733" s="4">
        <v>0</v>
      </c>
      <c r="G733" s="5">
        <v>0</v>
      </c>
      <c r="H733" s="4">
        <v>0</v>
      </c>
    </row>
    <row r="734" spans="1:8" x14ac:dyDescent="0.2">
      <c r="A734" s="2" t="s">
        <v>62</v>
      </c>
      <c r="B734" s="4">
        <v>11</v>
      </c>
      <c r="C734" s="5">
        <v>10.38</v>
      </c>
      <c r="D734" s="4">
        <v>11</v>
      </c>
      <c r="E734" s="5">
        <v>15.71</v>
      </c>
      <c r="F734" s="4">
        <v>0</v>
      </c>
      <c r="G734" s="5">
        <v>0</v>
      </c>
      <c r="H734" s="4">
        <v>0</v>
      </c>
    </row>
    <row r="735" spans="1:8" x14ac:dyDescent="0.2">
      <c r="A735" s="2" t="s">
        <v>63</v>
      </c>
      <c r="B735" s="4">
        <v>4</v>
      </c>
      <c r="C735" s="5">
        <v>3.77</v>
      </c>
      <c r="D735" s="4">
        <v>4</v>
      </c>
      <c r="E735" s="5">
        <v>5.71</v>
      </c>
      <c r="F735" s="4">
        <v>0</v>
      </c>
      <c r="G735" s="5">
        <v>0</v>
      </c>
      <c r="H735" s="4">
        <v>0</v>
      </c>
    </row>
    <row r="736" spans="1:8" x14ac:dyDescent="0.2">
      <c r="A736" s="2" t="s">
        <v>64</v>
      </c>
      <c r="B736" s="4">
        <v>3</v>
      </c>
      <c r="C736" s="5">
        <v>2.83</v>
      </c>
      <c r="D736" s="4">
        <v>2</v>
      </c>
      <c r="E736" s="5">
        <v>2.86</v>
      </c>
      <c r="F736" s="4">
        <v>0</v>
      </c>
      <c r="G736" s="5">
        <v>0</v>
      </c>
      <c r="H736" s="4">
        <v>1</v>
      </c>
    </row>
    <row r="737" spans="1:8" x14ac:dyDescent="0.2">
      <c r="A737" s="2" t="s">
        <v>65</v>
      </c>
      <c r="B737" s="4">
        <v>4</v>
      </c>
      <c r="C737" s="5">
        <v>3.77</v>
      </c>
      <c r="D737" s="4">
        <v>2</v>
      </c>
      <c r="E737" s="5">
        <v>2.86</v>
      </c>
      <c r="F737" s="4">
        <v>2</v>
      </c>
      <c r="G737" s="5">
        <v>6.06</v>
      </c>
      <c r="H737" s="4">
        <v>0</v>
      </c>
    </row>
    <row r="738" spans="1:8" x14ac:dyDescent="0.2">
      <c r="A738" s="1" t="s">
        <v>46</v>
      </c>
      <c r="B738" s="4">
        <v>31</v>
      </c>
      <c r="C738" s="5">
        <v>100.00000000000001</v>
      </c>
      <c r="D738" s="4">
        <v>19</v>
      </c>
      <c r="E738" s="5">
        <v>100.00999999999999</v>
      </c>
      <c r="F738" s="4">
        <v>9</v>
      </c>
      <c r="G738" s="5">
        <v>99.99</v>
      </c>
      <c r="H738" s="4">
        <v>1</v>
      </c>
    </row>
    <row r="739" spans="1:8" x14ac:dyDescent="0.2">
      <c r="A739" s="2" t="s">
        <v>51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52</v>
      </c>
      <c r="B740" s="4">
        <v>5</v>
      </c>
      <c r="C740" s="5">
        <v>16.13</v>
      </c>
      <c r="D740" s="4">
        <v>4</v>
      </c>
      <c r="E740" s="5">
        <v>21.05</v>
      </c>
      <c r="F740" s="4">
        <v>1</v>
      </c>
      <c r="G740" s="5">
        <v>11.11</v>
      </c>
      <c r="H740" s="4">
        <v>0</v>
      </c>
    </row>
    <row r="741" spans="1:8" x14ac:dyDescent="0.2">
      <c r="A741" s="2" t="s">
        <v>53</v>
      </c>
      <c r="B741" s="4">
        <v>2</v>
      </c>
      <c r="C741" s="5">
        <v>6.45</v>
      </c>
      <c r="D741" s="4">
        <v>2</v>
      </c>
      <c r="E741" s="5">
        <v>10.53</v>
      </c>
      <c r="F741" s="4">
        <v>0</v>
      </c>
      <c r="G741" s="5">
        <v>0</v>
      </c>
      <c r="H741" s="4">
        <v>0</v>
      </c>
    </row>
    <row r="742" spans="1:8" x14ac:dyDescent="0.2">
      <c r="A742" s="2" t="s">
        <v>54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2">
      <c r="A743" s="2" t="s">
        <v>55</v>
      </c>
      <c r="B743" s="4">
        <v>0</v>
      </c>
      <c r="C743" s="5">
        <v>0</v>
      </c>
      <c r="D743" s="4">
        <v>0</v>
      </c>
      <c r="E743" s="5">
        <v>0</v>
      </c>
      <c r="F743" s="4">
        <v>0</v>
      </c>
      <c r="G743" s="5">
        <v>0</v>
      </c>
      <c r="H743" s="4">
        <v>0</v>
      </c>
    </row>
    <row r="744" spans="1:8" x14ac:dyDescent="0.2">
      <c r="A744" s="2" t="s">
        <v>56</v>
      </c>
      <c r="B744" s="4">
        <v>0</v>
      </c>
      <c r="C744" s="5">
        <v>0</v>
      </c>
      <c r="D744" s="4">
        <v>0</v>
      </c>
      <c r="E744" s="5">
        <v>0</v>
      </c>
      <c r="F744" s="4">
        <v>0</v>
      </c>
      <c r="G744" s="5">
        <v>0</v>
      </c>
      <c r="H744" s="4">
        <v>0</v>
      </c>
    </row>
    <row r="745" spans="1:8" x14ac:dyDescent="0.2">
      <c r="A745" s="2" t="s">
        <v>57</v>
      </c>
      <c r="B745" s="4">
        <v>8</v>
      </c>
      <c r="C745" s="5">
        <v>25.81</v>
      </c>
      <c r="D745" s="4">
        <v>5</v>
      </c>
      <c r="E745" s="5">
        <v>26.32</v>
      </c>
      <c r="F745" s="4">
        <v>3</v>
      </c>
      <c r="G745" s="5">
        <v>33.33</v>
      </c>
      <c r="H745" s="4">
        <v>0</v>
      </c>
    </row>
    <row r="746" spans="1:8" x14ac:dyDescent="0.2">
      <c r="A746" s="2" t="s">
        <v>58</v>
      </c>
      <c r="B746" s="4">
        <v>0</v>
      </c>
      <c r="C746" s="5">
        <v>0</v>
      </c>
      <c r="D746" s="4">
        <v>0</v>
      </c>
      <c r="E746" s="5">
        <v>0</v>
      </c>
      <c r="F746" s="4">
        <v>0</v>
      </c>
      <c r="G746" s="5">
        <v>0</v>
      </c>
      <c r="H746" s="4">
        <v>0</v>
      </c>
    </row>
    <row r="747" spans="1:8" x14ac:dyDescent="0.2">
      <c r="A747" s="2" t="s">
        <v>59</v>
      </c>
      <c r="B747" s="4">
        <v>2</v>
      </c>
      <c r="C747" s="5">
        <v>6.45</v>
      </c>
      <c r="D747" s="4">
        <v>0</v>
      </c>
      <c r="E747" s="5">
        <v>0</v>
      </c>
      <c r="F747" s="4">
        <v>2</v>
      </c>
      <c r="G747" s="5">
        <v>22.22</v>
      </c>
      <c r="H747" s="4">
        <v>0</v>
      </c>
    </row>
    <row r="748" spans="1:8" x14ac:dyDescent="0.2">
      <c r="A748" s="2" t="s">
        <v>60</v>
      </c>
      <c r="B748" s="4">
        <v>4</v>
      </c>
      <c r="C748" s="5">
        <v>12.9</v>
      </c>
      <c r="D748" s="4">
        <v>0</v>
      </c>
      <c r="E748" s="5">
        <v>0</v>
      </c>
      <c r="F748" s="4">
        <v>2</v>
      </c>
      <c r="G748" s="5">
        <v>22.22</v>
      </c>
      <c r="H748" s="4">
        <v>0</v>
      </c>
    </row>
    <row r="749" spans="1:8" x14ac:dyDescent="0.2">
      <c r="A749" s="2" t="s">
        <v>61</v>
      </c>
      <c r="B749" s="4">
        <v>6</v>
      </c>
      <c r="C749" s="5">
        <v>19.350000000000001</v>
      </c>
      <c r="D749" s="4">
        <v>5</v>
      </c>
      <c r="E749" s="5">
        <v>26.32</v>
      </c>
      <c r="F749" s="4">
        <v>1</v>
      </c>
      <c r="G749" s="5">
        <v>11.11</v>
      </c>
      <c r="H749" s="4">
        <v>0</v>
      </c>
    </row>
    <row r="750" spans="1:8" x14ac:dyDescent="0.2">
      <c r="A750" s="2" t="s">
        <v>62</v>
      </c>
      <c r="B750" s="4">
        <v>3</v>
      </c>
      <c r="C750" s="5">
        <v>9.68</v>
      </c>
      <c r="D750" s="4">
        <v>3</v>
      </c>
      <c r="E750" s="5">
        <v>15.79</v>
      </c>
      <c r="F750" s="4">
        <v>0</v>
      </c>
      <c r="G750" s="5">
        <v>0</v>
      </c>
      <c r="H750" s="4">
        <v>0</v>
      </c>
    </row>
    <row r="751" spans="1:8" x14ac:dyDescent="0.2">
      <c r="A751" s="2" t="s">
        <v>63</v>
      </c>
      <c r="B751" s="4">
        <v>0</v>
      </c>
      <c r="C751" s="5">
        <v>0</v>
      </c>
      <c r="D751" s="4">
        <v>0</v>
      </c>
      <c r="E751" s="5">
        <v>0</v>
      </c>
      <c r="F751" s="4">
        <v>0</v>
      </c>
      <c r="G751" s="5">
        <v>0</v>
      </c>
      <c r="H751" s="4">
        <v>0</v>
      </c>
    </row>
    <row r="752" spans="1:8" x14ac:dyDescent="0.2">
      <c r="A752" s="2" t="s">
        <v>64</v>
      </c>
      <c r="B752" s="4">
        <v>0</v>
      </c>
      <c r="C752" s="5">
        <v>0</v>
      </c>
      <c r="D752" s="4">
        <v>0</v>
      </c>
      <c r="E752" s="5">
        <v>0</v>
      </c>
      <c r="F752" s="4">
        <v>0</v>
      </c>
      <c r="G752" s="5">
        <v>0</v>
      </c>
      <c r="H752" s="4">
        <v>0</v>
      </c>
    </row>
    <row r="753" spans="1:8" x14ac:dyDescent="0.2">
      <c r="A753" s="2" t="s">
        <v>65</v>
      </c>
      <c r="B753" s="4">
        <v>1</v>
      </c>
      <c r="C753" s="5">
        <v>3.23</v>
      </c>
      <c r="D753" s="4">
        <v>0</v>
      </c>
      <c r="E753" s="5">
        <v>0</v>
      </c>
      <c r="F753" s="4">
        <v>0</v>
      </c>
      <c r="G753" s="5">
        <v>0</v>
      </c>
      <c r="H753" s="4">
        <v>1</v>
      </c>
    </row>
    <row r="754" spans="1:8" x14ac:dyDescent="0.2">
      <c r="A754" s="1" t="s">
        <v>47</v>
      </c>
      <c r="B754" s="4">
        <v>50</v>
      </c>
      <c r="C754" s="5">
        <v>100</v>
      </c>
      <c r="D754" s="4">
        <v>37</v>
      </c>
      <c r="E754" s="5">
        <v>100.01</v>
      </c>
      <c r="F754" s="4">
        <v>11</v>
      </c>
      <c r="G754" s="5">
        <v>99.990000000000009</v>
      </c>
      <c r="H754" s="4">
        <v>0</v>
      </c>
    </row>
    <row r="755" spans="1:8" x14ac:dyDescent="0.2">
      <c r="A755" s="2" t="s">
        <v>51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52</v>
      </c>
      <c r="B756" s="4">
        <v>16</v>
      </c>
      <c r="C756" s="5">
        <v>32</v>
      </c>
      <c r="D756" s="4">
        <v>12</v>
      </c>
      <c r="E756" s="5">
        <v>32.43</v>
      </c>
      <c r="F756" s="4">
        <v>4</v>
      </c>
      <c r="G756" s="5">
        <v>36.36</v>
      </c>
      <c r="H756" s="4">
        <v>0</v>
      </c>
    </row>
    <row r="757" spans="1:8" x14ac:dyDescent="0.2">
      <c r="A757" s="2" t="s">
        <v>53</v>
      </c>
      <c r="B757" s="4">
        <v>5</v>
      </c>
      <c r="C757" s="5">
        <v>10</v>
      </c>
      <c r="D757" s="4">
        <v>4</v>
      </c>
      <c r="E757" s="5">
        <v>10.81</v>
      </c>
      <c r="F757" s="4">
        <v>1</v>
      </c>
      <c r="G757" s="5">
        <v>9.09</v>
      </c>
      <c r="H757" s="4">
        <v>0</v>
      </c>
    </row>
    <row r="758" spans="1:8" x14ac:dyDescent="0.2">
      <c r="A758" s="2" t="s">
        <v>54</v>
      </c>
      <c r="B758" s="4">
        <v>1</v>
      </c>
      <c r="C758" s="5">
        <v>2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2">
      <c r="A759" s="2" t="s">
        <v>55</v>
      </c>
      <c r="B759" s="4">
        <v>0</v>
      </c>
      <c r="C759" s="5">
        <v>0</v>
      </c>
      <c r="D759" s="4">
        <v>0</v>
      </c>
      <c r="E759" s="5">
        <v>0</v>
      </c>
      <c r="F759" s="4">
        <v>0</v>
      </c>
      <c r="G759" s="5">
        <v>0</v>
      </c>
      <c r="H759" s="4">
        <v>0</v>
      </c>
    </row>
    <row r="760" spans="1:8" x14ac:dyDescent="0.2">
      <c r="A760" s="2" t="s">
        <v>56</v>
      </c>
      <c r="B760" s="4">
        <v>3</v>
      </c>
      <c r="C760" s="5">
        <v>6</v>
      </c>
      <c r="D760" s="4">
        <v>2</v>
      </c>
      <c r="E760" s="5">
        <v>5.41</v>
      </c>
      <c r="F760" s="4">
        <v>1</v>
      </c>
      <c r="G760" s="5">
        <v>9.09</v>
      </c>
      <c r="H760" s="4">
        <v>0</v>
      </c>
    </row>
    <row r="761" spans="1:8" x14ac:dyDescent="0.2">
      <c r="A761" s="2" t="s">
        <v>57</v>
      </c>
      <c r="B761" s="4">
        <v>10</v>
      </c>
      <c r="C761" s="5">
        <v>20</v>
      </c>
      <c r="D761" s="4">
        <v>6</v>
      </c>
      <c r="E761" s="5">
        <v>16.22</v>
      </c>
      <c r="F761" s="4">
        <v>4</v>
      </c>
      <c r="G761" s="5">
        <v>36.36</v>
      </c>
      <c r="H761" s="4">
        <v>0</v>
      </c>
    </row>
    <row r="762" spans="1:8" x14ac:dyDescent="0.2">
      <c r="A762" s="2" t="s">
        <v>58</v>
      </c>
      <c r="B762" s="4">
        <v>0</v>
      </c>
      <c r="C762" s="5">
        <v>0</v>
      </c>
      <c r="D762" s="4">
        <v>0</v>
      </c>
      <c r="E762" s="5">
        <v>0</v>
      </c>
      <c r="F762" s="4">
        <v>0</v>
      </c>
      <c r="G762" s="5">
        <v>0</v>
      </c>
      <c r="H762" s="4">
        <v>0</v>
      </c>
    </row>
    <row r="763" spans="1:8" x14ac:dyDescent="0.2">
      <c r="A763" s="2" t="s">
        <v>59</v>
      </c>
      <c r="B763" s="4">
        <v>1</v>
      </c>
      <c r="C763" s="5">
        <v>2</v>
      </c>
      <c r="D763" s="4">
        <v>1</v>
      </c>
      <c r="E763" s="5">
        <v>2.7</v>
      </c>
      <c r="F763" s="4">
        <v>0</v>
      </c>
      <c r="G763" s="5">
        <v>0</v>
      </c>
      <c r="H763" s="4">
        <v>0</v>
      </c>
    </row>
    <row r="764" spans="1:8" x14ac:dyDescent="0.2">
      <c r="A764" s="2" t="s">
        <v>60</v>
      </c>
      <c r="B764" s="4">
        <v>2</v>
      </c>
      <c r="C764" s="5">
        <v>4</v>
      </c>
      <c r="D764" s="4">
        <v>1</v>
      </c>
      <c r="E764" s="5">
        <v>2.7</v>
      </c>
      <c r="F764" s="4">
        <v>1</v>
      </c>
      <c r="G764" s="5">
        <v>9.09</v>
      </c>
      <c r="H764" s="4">
        <v>0</v>
      </c>
    </row>
    <row r="765" spans="1:8" x14ac:dyDescent="0.2">
      <c r="A765" s="2" t="s">
        <v>61</v>
      </c>
      <c r="B765" s="4">
        <v>2</v>
      </c>
      <c r="C765" s="5">
        <v>4</v>
      </c>
      <c r="D765" s="4">
        <v>2</v>
      </c>
      <c r="E765" s="5">
        <v>5.41</v>
      </c>
      <c r="F765" s="4">
        <v>0</v>
      </c>
      <c r="G765" s="5">
        <v>0</v>
      </c>
      <c r="H765" s="4">
        <v>0</v>
      </c>
    </row>
    <row r="766" spans="1:8" x14ac:dyDescent="0.2">
      <c r="A766" s="2" t="s">
        <v>62</v>
      </c>
      <c r="B766" s="4">
        <v>6</v>
      </c>
      <c r="C766" s="5">
        <v>12</v>
      </c>
      <c r="D766" s="4">
        <v>6</v>
      </c>
      <c r="E766" s="5">
        <v>16.22</v>
      </c>
      <c r="F766" s="4">
        <v>0</v>
      </c>
      <c r="G766" s="5">
        <v>0</v>
      </c>
      <c r="H766" s="4">
        <v>0</v>
      </c>
    </row>
    <row r="767" spans="1:8" x14ac:dyDescent="0.2">
      <c r="A767" s="2" t="s">
        <v>63</v>
      </c>
      <c r="B767" s="4">
        <v>1</v>
      </c>
      <c r="C767" s="5">
        <v>2</v>
      </c>
      <c r="D767" s="4">
        <v>0</v>
      </c>
      <c r="E767" s="5">
        <v>0</v>
      </c>
      <c r="F767" s="4">
        <v>0</v>
      </c>
      <c r="G767" s="5">
        <v>0</v>
      </c>
      <c r="H767" s="4">
        <v>0</v>
      </c>
    </row>
    <row r="768" spans="1:8" x14ac:dyDescent="0.2">
      <c r="A768" s="2" t="s">
        <v>64</v>
      </c>
      <c r="B768" s="4">
        <v>1</v>
      </c>
      <c r="C768" s="5">
        <v>2</v>
      </c>
      <c r="D768" s="4">
        <v>1</v>
      </c>
      <c r="E768" s="5">
        <v>2.7</v>
      </c>
      <c r="F768" s="4">
        <v>0</v>
      </c>
      <c r="G768" s="5">
        <v>0</v>
      </c>
      <c r="H768" s="4">
        <v>0</v>
      </c>
    </row>
    <row r="769" spans="1:8" x14ac:dyDescent="0.2">
      <c r="A769" s="2" t="s">
        <v>65</v>
      </c>
      <c r="B769" s="4">
        <v>2</v>
      </c>
      <c r="C769" s="5">
        <v>4</v>
      </c>
      <c r="D769" s="4">
        <v>2</v>
      </c>
      <c r="E769" s="5">
        <v>5.41</v>
      </c>
      <c r="F769" s="4">
        <v>0</v>
      </c>
      <c r="G769" s="5">
        <v>0</v>
      </c>
      <c r="H769" s="4">
        <v>0</v>
      </c>
    </row>
    <row r="770" spans="1:8" x14ac:dyDescent="0.2">
      <c r="A770" s="1" t="s">
        <v>48</v>
      </c>
      <c r="B770" s="4">
        <v>35</v>
      </c>
      <c r="C770" s="5">
        <v>99.999999999999972</v>
      </c>
      <c r="D770" s="4">
        <v>24</v>
      </c>
      <c r="E770" s="5">
        <v>100</v>
      </c>
      <c r="F770" s="4">
        <v>11</v>
      </c>
      <c r="G770" s="5">
        <v>99.990000000000009</v>
      </c>
      <c r="H770" s="4">
        <v>0</v>
      </c>
    </row>
    <row r="771" spans="1:8" x14ac:dyDescent="0.2">
      <c r="A771" s="2" t="s">
        <v>51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52</v>
      </c>
      <c r="B772" s="4">
        <v>12</v>
      </c>
      <c r="C772" s="5">
        <v>34.29</v>
      </c>
      <c r="D772" s="4">
        <v>11</v>
      </c>
      <c r="E772" s="5">
        <v>45.83</v>
      </c>
      <c r="F772" s="4">
        <v>1</v>
      </c>
      <c r="G772" s="5">
        <v>9.09</v>
      </c>
      <c r="H772" s="4">
        <v>0</v>
      </c>
    </row>
    <row r="773" spans="1:8" x14ac:dyDescent="0.2">
      <c r="A773" s="2" t="s">
        <v>53</v>
      </c>
      <c r="B773" s="4">
        <v>6</v>
      </c>
      <c r="C773" s="5">
        <v>17.14</v>
      </c>
      <c r="D773" s="4">
        <v>1</v>
      </c>
      <c r="E773" s="5">
        <v>4.17</v>
      </c>
      <c r="F773" s="4">
        <v>5</v>
      </c>
      <c r="G773" s="5">
        <v>45.45</v>
      </c>
      <c r="H773" s="4">
        <v>0</v>
      </c>
    </row>
    <row r="774" spans="1:8" x14ac:dyDescent="0.2">
      <c r="A774" s="2" t="s">
        <v>54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2">
      <c r="A775" s="2" t="s">
        <v>55</v>
      </c>
      <c r="B775" s="4">
        <v>0</v>
      </c>
      <c r="C775" s="5">
        <v>0</v>
      </c>
      <c r="D775" s="4">
        <v>0</v>
      </c>
      <c r="E775" s="5">
        <v>0</v>
      </c>
      <c r="F775" s="4">
        <v>0</v>
      </c>
      <c r="G775" s="5">
        <v>0</v>
      </c>
      <c r="H775" s="4">
        <v>0</v>
      </c>
    </row>
    <row r="776" spans="1:8" x14ac:dyDescent="0.2">
      <c r="A776" s="2" t="s">
        <v>56</v>
      </c>
      <c r="B776" s="4">
        <v>0</v>
      </c>
      <c r="C776" s="5">
        <v>0</v>
      </c>
      <c r="D776" s="4">
        <v>0</v>
      </c>
      <c r="E776" s="5">
        <v>0</v>
      </c>
      <c r="F776" s="4">
        <v>0</v>
      </c>
      <c r="G776" s="5">
        <v>0</v>
      </c>
      <c r="H776" s="4">
        <v>0</v>
      </c>
    </row>
    <row r="777" spans="1:8" x14ac:dyDescent="0.2">
      <c r="A777" s="2" t="s">
        <v>57</v>
      </c>
      <c r="B777" s="4">
        <v>8</v>
      </c>
      <c r="C777" s="5">
        <v>22.86</v>
      </c>
      <c r="D777" s="4">
        <v>6</v>
      </c>
      <c r="E777" s="5">
        <v>25</v>
      </c>
      <c r="F777" s="4">
        <v>2</v>
      </c>
      <c r="G777" s="5">
        <v>18.18</v>
      </c>
      <c r="H777" s="4">
        <v>0</v>
      </c>
    </row>
    <row r="778" spans="1:8" x14ac:dyDescent="0.2">
      <c r="A778" s="2" t="s">
        <v>58</v>
      </c>
      <c r="B778" s="4">
        <v>0</v>
      </c>
      <c r="C778" s="5">
        <v>0</v>
      </c>
      <c r="D778" s="4">
        <v>0</v>
      </c>
      <c r="E778" s="5">
        <v>0</v>
      </c>
      <c r="F778" s="4">
        <v>0</v>
      </c>
      <c r="G778" s="5">
        <v>0</v>
      </c>
      <c r="H778" s="4">
        <v>0</v>
      </c>
    </row>
    <row r="779" spans="1:8" x14ac:dyDescent="0.2">
      <c r="A779" s="2" t="s">
        <v>59</v>
      </c>
      <c r="B779" s="4">
        <v>1</v>
      </c>
      <c r="C779" s="5">
        <v>2.86</v>
      </c>
      <c r="D779" s="4">
        <v>1</v>
      </c>
      <c r="E779" s="5">
        <v>4.17</v>
      </c>
      <c r="F779" s="4">
        <v>0</v>
      </c>
      <c r="G779" s="5">
        <v>0</v>
      </c>
      <c r="H779" s="4">
        <v>0</v>
      </c>
    </row>
    <row r="780" spans="1:8" x14ac:dyDescent="0.2">
      <c r="A780" s="2" t="s">
        <v>60</v>
      </c>
      <c r="B780" s="4">
        <v>1</v>
      </c>
      <c r="C780" s="5">
        <v>2.86</v>
      </c>
      <c r="D780" s="4">
        <v>0</v>
      </c>
      <c r="E780" s="5">
        <v>0</v>
      </c>
      <c r="F780" s="4">
        <v>1</v>
      </c>
      <c r="G780" s="5">
        <v>9.09</v>
      </c>
      <c r="H780" s="4">
        <v>0</v>
      </c>
    </row>
    <row r="781" spans="1:8" x14ac:dyDescent="0.2">
      <c r="A781" s="2" t="s">
        <v>61</v>
      </c>
      <c r="B781" s="4">
        <v>0</v>
      </c>
      <c r="C781" s="5">
        <v>0</v>
      </c>
      <c r="D781" s="4">
        <v>0</v>
      </c>
      <c r="E781" s="5">
        <v>0</v>
      </c>
      <c r="F781" s="4">
        <v>0</v>
      </c>
      <c r="G781" s="5">
        <v>0</v>
      </c>
      <c r="H781" s="4">
        <v>0</v>
      </c>
    </row>
    <row r="782" spans="1:8" x14ac:dyDescent="0.2">
      <c r="A782" s="2" t="s">
        <v>62</v>
      </c>
      <c r="B782" s="4">
        <v>3</v>
      </c>
      <c r="C782" s="5">
        <v>8.57</v>
      </c>
      <c r="D782" s="4">
        <v>2</v>
      </c>
      <c r="E782" s="5">
        <v>8.33</v>
      </c>
      <c r="F782" s="4">
        <v>1</v>
      </c>
      <c r="G782" s="5">
        <v>9.09</v>
      </c>
      <c r="H782" s="4">
        <v>0</v>
      </c>
    </row>
    <row r="783" spans="1:8" x14ac:dyDescent="0.2">
      <c r="A783" s="2" t="s">
        <v>63</v>
      </c>
      <c r="B783" s="4">
        <v>2</v>
      </c>
      <c r="C783" s="5">
        <v>5.71</v>
      </c>
      <c r="D783" s="4">
        <v>1</v>
      </c>
      <c r="E783" s="5">
        <v>4.17</v>
      </c>
      <c r="F783" s="4">
        <v>1</v>
      </c>
      <c r="G783" s="5">
        <v>9.09</v>
      </c>
      <c r="H783" s="4">
        <v>0</v>
      </c>
    </row>
    <row r="784" spans="1:8" x14ac:dyDescent="0.2">
      <c r="A784" s="2" t="s">
        <v>64</v>
      </c>
      <c r="B784" s="4">
        <v>0</v>
      </c>
      <c r="C784" s="5">
        <v>0</v>
      </c>
      <c r="D784" s="4">
        <v>0</v>
      </c>
      <c r="E784" s="5">
        <v>0</v>
      </c>
      <c r="F784" s="4">
        <v>0</v>
      </c>
      <c r="G784" s="5">
        <v>0</v>
      </c>
      <c r="H784" s="4">
        <v>0</v>
      </c>
    </row>
    <row r="785" spans="1:8" x14ac:dyDescent="0.2">
      <c r="A785" s="2" t="s">
        <v>65</v>
      </c>
      <c r="B785" s="4">
        <v>2</v>
      </c>
      <c r="C785" s="5">
        <v>5.71</v>
      </c>
      <c r="D785" s="4">
        <v>2</v>
      </c>
      <c r="E785" s="5">
        <v>8.33</v>
      </c>
      <c r="F785" s="4">
        <v>0</v>
      </c>
      <c r="G785" s="5">
        <v>0</v>
      </c>
      <c r="H785" s="4">
        <v>0</v>
      </c>
    </row>
    <row r="786" spans="1:8" x14ac:dyDescent="0.2">
      <c r="A786" s="1" t="s">
        <v>49</v>
      </c>
      <c r="B786" s="4">
        <v>364</v>
      </c>
      <c r="C786" s="5">
        <v>99.98</v>
      </c>
      <c r="D786" s="4">
        <v>227</v>
      </c>
      <c r="E786" s="5">
        <v>99.99</v>
      </c>
      <c r="F786" s="4">
        <v>132</v>
      </c>
      <c r="G786" s="5">
        <v>100.01</v>
      </c>
      <c r="H786" s="4">
        <v>1</v>
      </c>
    </row>
    <row r="787" spans="1:8" x14ac:dyDescent="0.2">
      <c r="A787" s="2" t="s">
        <v>51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52</v>
      </c>
      <c r="B788" s="4">
        <v>44</v>
      </c>
      <c r="C788" s="5">
        <v>12.09</v>
      </c>
      <c r="D788" s="4">
        <v>27</v>
      </c>
      <c r="E788" s="5">
        <v>11.89</v>
      </c>
      <c r="F788" s="4">
        <v>17</v>
      </c>
      <c r="G788" s="5">
        <v>12.88</v>
      </c>
      <c r="H788" s="4">
        <v>0</v>
      </c>
    </row>
    <row r="789" spans="1:8" x14ac:dyDescent="0.2">
      <c r="A789" s="2" t="s">
        <v>53</v>
      </c>
      <c r="B789" s="4">
        <v>43</v>
      </c>
      <c r="C789" s="5">
        <v>11.81</v>
      </c>
      <c r="D789" s="4">
        <v>14</v>
      </c>
      <c r="E789" s="5">
        <v>6.17</v>
      </c>
      <c r="F789" s="4">
        <v>29</v>
      </c>
      <c r="G789" s="5">
        <v>21.97</v>
      </c>
      <c r="H789" s="4">
        <v>0</v>
      </c>
    </row>
    <row r="790" spans="1:8" x14ac:dyDescent="0.2">
      <c r="A790" s="2" t="s">
        <v>54</v>
      </c>
      <c r="B790" s="4">
        <v>1</v>
      </c>
      <c r="C790" s="5">
        <v>0.27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55</v>
      </c>
      <c r="B791" s="4">
        <v>1</v>
      </c>
      <c r="C791" s="5">
        <v>0.27</v>
      </c>
      <c r="D791" s="4">
        <v>1</v>
      </c>
      <c r="E791" s="5">
        <v>0.44</v>
      </c>
      <c r="F791" s="4">
        <v>0</v>
      </c>
      <c r="G791" s="5">
        <v>0</v>
      </c>
      <c r="H791" s="4">
        <v>0</v>
      </c>
    </row>
    <row r="792" spans="1:8" x14ac:dyDescent="0.2">
      <c r="A792" s="2" t="s">
        <v>56</v>
      </c>
      <c r="B792" s="4">
        <v>3</v>
      </c>
      <c r="C792" s="5">
        <v>0.82</v>
      </c>
      <c r="D792" s="4">
        <v>0</v>
      </c>
      <c r="E792" s="5">
        <v>0</v>
      </c>
      <c r="F792" s="4">
        <v>3</v>
      </c>
      <c r="G792" s="5">
        <v>2.27</v>
      </c>
      <c r="H792" s="4">
        <v>0</v>
      </c>
    </row>
    <row r="793" spans="1:8" x14ac:dyDescent="0.2">
      <c r="A793" s="2" t="s">
        <v>57</v>
      </c>
      <c r="B793" s="4">
        <v>106</v>
      </c>
      <c r="C793" s="5">
        <v>29.12</v>
      </c>
      <c r="D793" s="4">
        <v>56</v>
      </c>
      <c r="E793" s="5">
        <v>24.67</v>
      </c>
      <c r="F793" s="4">
        <v>50</v>
      </c>
      <c r="G793" s="5">
        <v>37.880000000000003</v>
      </c>
      <c r="H793" s="4">
        <v>0</v>
      </c>
    </row>
    <row r="794" spans="1:8" x14ac:dyDescent="0.2">
      <c r="A794" s="2" t="s">
        <v>58</v>
      </c>
      <c r="B794" s="4">
        <v>1</v>
      </c>
      <c r="C794" s="5">
        <v>0.27</v>
      </c>
      <c r="D794" s="4">
        <v>1</v>
      </c>
      <c r="E794" s="5">
        <v>0.44</v>
      </c>
      <c r="F794" s="4">
        <v>0</v>
      </c>
      <c r="G794" s="5">
        <v>0</v>
      </c>
      <c r="H794" s="4">
        <v>0</v>
      </c>
    </row>
    <row r="795" spans="1:8" x14ac:dyDescent="0.2">
      <c r="A795" s="2" t="s">
        <v>59</v>
      </c>
      <c r="B795" s="4">
        <v>7</v>
      </c>
      <c r="C795" s="5">
        <v>1.92</v>
      </c>
      <c r="D795" s="4">
        <v>0</v>
      </c>
      <c r="E795" s="5">
        <v>0</v>
      </c>
      <c r="F795" s="4">
        <v>7</v>
      </c>
      <c r="G795" s="5">
        <v>5.3</v>
      </c>
      <c r="H795" s="4">
        <v>0</v>
      </c>
    </row>
    <row r="796" spans="1:8" x14ac:dyDescent="0.2">
      <c r="A796" s="2" t="s">
        <v>60</v>
      </c>
      <c r="B796" s="4">
        <v>15</v>
      </c>
      <c r="C796" s="5">
        <v>4.12</v>
      </c>
      <c r="D796" s="4">
        <v>10</v>
      </c>
      <c r="E796" s="5">
        <v>4.41</v>
      </c>
      <c r="F796" s="4">
        <v>5</v>
      </c>
      <c r="G796" s="5">
        <v>3.79</v>
      </c>
      <c r="H796" s="4">
        <v>0</v>
      </c>
    </row>
    <row r="797" spans="1:8" x14ac:dyDescent="0.2">
      <c r="A797" s="2" t="s">
        <v>61</v>
      </c>
      <c r="B797" s="4">
        <v>49</v>
      </c>
      <c r="C797" s="5">
        <v>13.46</v>
      </c>
      <c r="D797" s="4">
        <v>43</v>
      </c>
      <c r="E797" s="5">
        <v>18.940000000000001</v>
      </c>
      <c r="F797" s="4">
        <v>5</v>
      </c>
      <c r="G797" s="5">
        <v>3.79</v>
      </c>
      <c r="H797" s="4">
        <v>0</v>
      </c>
    </row>
    <row r="798" spans="1:8" x14ac:dyDescent="0.2">
      <c r="A798" s="2" t="s">
        <v>62</v>
      </c>
      <c r="B798" s="4">
        <v>59</v>
      </c>
      <c r="C798" s="5">
        <v>16.21</v>
      </c>
      <c r="D798" s="4">
        <v>54</v>
      </c>
      <c r="E798" s="5">
        <v>23.79</v>
      </c>
      <c r="F798" s="4">
        <v>4</v>
      </c>
      <c r="G798" s="5">
        <v>3.03</v>
      </c>
      <c r="H798" s="4">
        <v>0</v>
      </c>
    </row>
    <row r="799" spans="1:8" x14ac:dyDescent="0.2">
      <c r="A799" s="2" t="s">
        <v>63</v>
      </c>
      <c r="B799" s="4">
        <v>4</v>
      </c>
      <c r="C799" s="5">
        <v>1.1000000000000001</v>
      </c>
      <c r="D799" s="4">
        <v>4</v>
      </c>
      <c r="E799" s="5">
        <v>1.76</v>
      </c>
      <c r="F799" s="4">
        <v>0</v>
      </c>
      <c r="G799" s="5">
        <v>0</v>
      </c>
      <c r="H799" s="4">
        <v>0</v>
      </c>
    </row>
    <row r="800" spans="1:8" x14ac:dyDescent="0.2">
      <c r="A800" s="2" t="s">
        <v>64</v>
      </c>
      <c r="B800" s="4">
        <v>19</v>
      </c>
      <c r="C800" s="5">
        <v>5.22</v>
      </c>
      <c r="D800" s="4">
        <v>9</v>
      </c>
      <c r="E800" s="5">
        <v>3.96</v>
      </c>
      <c r="F800" s="4">
        <v>10</v>
      </c>
      <c r="G800" s="5">
        <v>7.58</v>
      </c>
      <c r="H800" s="4">
        <v>0</v>
      </c>
    </row>
    <row r="801" spans="1:8" x14ac:dyDescent="0.2">
      <c r="A801" s="2" t="s">
        <v>65</v>
      </c>
      <c r="B801" s="4">
        <v>12</v>
      </c>
      <c r="C801" s="5">
        <v>3.3</v>
      </c>
      <c r="D801" s="4">
        <v>8</v>
      </c>
      <c r="E801" s="5">
        <v>3.52</v>
      </c>
      <c r="F801" s="4">
        <v>2</v>
      </c>
      <c r="G801" s="5">
        <v>1.52</v>
      </c>
      <c r="H801" s="4">
        <v>1</v>
      </c>
    </row>
    <row r="802" spans="1:8" x14ac:dyDescent="0.2">
      <c r="A802" s="1" t="s">
        <v>50</v>
      </c>
      <c r="B802" s="4">
        <v>200</v>
      </c>
      <c r="C802" s="5">
        <v>100</v>
      </c>
      <c r="D802" s="4">
        <v>121</v>
      </c>
      <c r="E802" s="5">
        <v>99.99</v>
      </c>
      <c r="F802" s="4">
        <v>71</v>
      </c>
      <c r="G802" s="5">
        <v>99.989999999999966</v>
      </c>
      <c r="H802" s="4">
        <v>2</v>
      </c>
    </row>
    <row r="803" spans="1:8" x14ac:dyDescent="0.2">
      <c r="A803" s="2" t="s">
        <v>51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52</v>
      </c>
      <c r="B804" s="4">
        <v>35</v>
      </c>
      <c r="C804" s="5">
        <v>17.5</v>
      </c>
      <c r="D804" s="4">
        <v>16</v>
      </c>
      <c r="E804" s="5">
        <v>13.22</v>
      </c>
      <c r="F804" s="4">
        <v>19</v>
      </c>
      <c r="G804" s="5">
        <v>26.76</v>
      </c>
      <c r="H804" s="4">
        <v>0</v>
      </c>
    </row>
    <row r="805" spans="1:8" x14ac:dyDescent="0.2">
      <c r="A805" s="2" t="s">
        <v>53</v>
      </c>
      <c r="B805" s="4">
        <v>10</v>
      </c>
      <c r="C805" s="5">
        <v>5</v>
      </c>
      <c r="D805" s="4">
        <v>5</v>
      </c>
      <c r="E805" s="5">
        <v>4.13</v>
      </c>
      <c r="F805" s="4">
        <v>5</v>
      </c>
      <c r="G805" s="5">
        <v>7.04</v>
      </c>
      <c r="H805" s="4">
        <v>0</v>
      </c>
    </row>
    <row r="806" spans="1:8" x14ac:dyDescent="0.2">
      <c r="A806" s="2" t="s">
        <v>54</v>
      </c>
      <c r="B806" s="4">
        <v>1</v>
      </c>
      <c r="C806" s="5">
        <v>0.5</v>
      </c>
      <c r="D806" s="4">
        <v>0</v>
      </c>
      <c r="E806" s="5">
        <v>0</v>
      </c>
      <c r="F806" s="4">
        <v>1</v>
      </c>
      <c r="G806" s="5">
        <v>1.41</v>
      </c>
      <c r="H806" s="4">
        <v>0</v>
      </c>
    </row>
    <row r="807" spans="1:8" x14ac:dyDescent="0.2">
      <c r="A807" s="2" t="s">
        <v>55</v>
      </c>
      <c r="B807" s="4">
        <v>1</v>
      </c>
      <c r="C807" s="5">
        <v>0.5</v>
      </c>
      <c r="D807" s="4">
        <v>0</v>
      </c>
      <c r="E807" s="5">
        <v>0</v>
      </c>
      <c r="F807" s="4">
        <v>1</v>
      </c>
      <c r="G807" s="5">
        <v>1.41</v>
      </c>
      <c r="H807" s="4">
        <v>0</v>
      </c>
    </row>
    <row r="808" spans="1:8" x14ac:dyDescent="0.2">
      <c r="A808" s="2" t="s">
        <v>56</v>
      </c>
      <c r="B808" s="4">
        <v>4</v>
      </c>
      <c r="C808" s="5">
        <v>2</v>
      </c>
      <c r="D808" s="4">
        <v>3</v>
      </c>
      <c r="E808" s="5">
        <v>2.48</v>
      </c>
      <c r="F808" s="4">
        <v>1</v>
      </c>
      <c r="G808" s="5">
        <v>1.41</v>
      </c>
      <c r="H808" s="4">
        <v>0</v>
      </c>
    </row>
    <row r="809" spans="1:8" x14ac:dyDescent="0.2">
      <c r="A809" s="2" t="s">
        <v>57</v>
      </c>
      <c r="B809" s="4">
        <v>68</v>
      </c>
      <c r="C809" s="5">
        <v>34</v>
      </c>
      <c r="D809" s="4">
        <v>44</v>
      </c>
      <c r="E809" s="5">
        <v>36.36</v>
      </c>
      <c r="F809" s="4">
        <v>23</v>
      </c>
      <c r="G809" s="5">
        <v>32.39</v>
      </c>
      <c r="H809" s="4">
        <v>1</v>
      </c>
    </row>
    <row r="810" spans="1:8" x14ac:dyDescent="0.2">
      <c r="A810" s="2" t="s">
        <v>58</v>
      </c>
      <c r="B810" s="4">
        <v>0</v>
      </c>
      <c r="C810" s="5">
        <v>0</v>
      </c>
      <c r="D810" s="4">
        <v>0</v>
      </c>
      <c r="E810" s="5">
        <v>0</v>
      </c>
      <c r="F810" s="4">
        <v>0</v>
      </c>
      <c r="G810" s="5">
        <v>0</v>
      </c>
      <c r="H810" s="4">
        <v>0</v>
      </c>
    </row>
    <row r="811" spans="1:8" x14ac:dyDescent="0.2">
      <c r="A811" s="2" t="s">
        <v>59</v>
      </c>
      <c r="B811" s="4">
        <v>5</v>
      </c>
      <c r="C811" s="5">
        <v>2.5</v>
      </c>
      <c r="D811" s="4">
        <v>0</v>
      </c>
      <c r="E811" s="5">
        <v>0</v>
      </c>
      <c r="F811" s="4">
        <v>5</v>
      </c>
      <c r="G811" s="5">
        <v>7.04</v>
      </c>
      <c r="H811" s="4">
        <v>0</v>
      </c>
    </row>
    <row r="812" spans="1:8" x14ac:dyDescent="0.2">
      <c r="A812" s="2" t="s">
        <v>60</v>
      </c>
      <c r="B812" s="4">
        <v>4</v>
      </c>
      <c r="C812" s="5">
        <v>2</v>
      </c>
      <c r="D812" s="4">
        <v>3</v>
      </c>
      <c r="E812" s="5">
        <v>2.48</v>
      </c>
      <c r="F812" s="4">
        <v>1</v>
      </c>
      <c r="G812" s="5">
        <v>1.41</v>
      </c>
      <c r="H812" s="4">
        <v>0</v>
      </c>
    </row>
    <row r="813" spans="1:8" x14ac:dyDescent="0.2">
      <c r="A813" s="2" t="s">
        <v>61</v>
      </c>
      <c r="B813" s="4">
        <v>25</v>
      </c>
      <c r="C813" s="5">
        <v>12.5</v>
      </c>
      <c r="D813" s="4">
        <v>20</v>
      </c>
      <c r="E813" s="5">
        <v>16.53</v>
      </c>
      <c r="F813" s="4">
        <v>4</v>
      </c>
      <c r="G813" s="5">
        <v>5.63</v>
      </c>
      <c r="H813" s="4">
        <v>1</v>
      </c>
    </row>
    <row r="814" spans="1:8" x14ac:dyDescent="0.2">
      <c r="A814" s="2" t="s">
        <v>62</v>
      </c>
      <c r="B814" s="4">
        <v>28</v>
      </c>
      <c r="C814" s="5">
        <v>14</v>
      </c>
      <c r="D814" s="4">
        <v>24</v>
      </c>
      <c r="E814" s="5">
        <v>19.829999999999998</v>
      </c>
      <c r="F814" s="4">
        <v>4</v>
      </c>
      <c r="G814" s="5">
        <v>5.63</v>
      </c>
      <c r="H814" s="4">
        <v>0</v>
      </c>
    </row>
    <row r="815" spans="1:8" x14ac:dyDescent="0.2">
      <c r="A815" s="2" t="s">
        <v>63</v>
      </c>
      <c r="B815" s="4">
        <v>8</v>
      </c>
      <c r="C815" s="5">
        <v>4</v>
      </c>
      <c r="D815" s="4">
        <v>2</v>
      </c>
      <c r="E815" s="5">
        <v>1.65</v>
      </c>
      <c r="F815" s="4">
        <v>1</v>
      </c>
      <c r="G815" s="5">
        <v>1.41</v>
      </c>
      <c r="H815" s="4">
        <v>0</v>
      </c>
    </row>
    <row r="816" spans="1:8" x14ac:dyDescent="0.2">
      <c r="A816" s="2" t="s">
        <v>64</v>
      </c>
      <c r="B816" s="4">
        <v>5</v>
      </c>
      <c r="C816" s="5">
        <v>2.5</v>
      </c>
      <c r="D816" s="4">
        <v>1</v>
      </c>
      <c r="E816" s="5">
        <v>0.83</v>
      </c>
      <c r="F816" s="4">
        <v>4</v>
      </c>
      <c r="G816" s="5">
        <v>5.63</v>
      </c>
      <c r="H816" s="4">
        <v>0</v>
      </c>
    </row>
    <row r="817" spans="1:8" x14ac:dyDescent="0.2">
      <c r="A817" s="2" t="s">
        <v>65</v>
      </c>
      <c r="B817" s="4">
        <v>6</v>
      </c>
      <c r="C817" s="5">
        <v>3</v>
      </c>
      <c r="D817" s="4">
        <v>3</v>
      </c>
      <c r="E817" s="5">
        <v>2.48</v>
      </c>
      <c r="F817" s="4">
        <v>2</v>
      </c>
      <c r="G817" s="5">
        <v>2.82</v>
      </c>
      <c r="H8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9965-D763-4BA2-AE8D-C5517A98B4C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160</v>
      </c>
      <c r="D6" s="8">
        <v>17.3</v>
      </c>
      <c r="E6" s="12">
        <v>102</v>
      </c>
      <c r="F6" s="8">
        <v>16.010000000000002</v>
      </c>
      <c r="G6" s="12">
        <v>58</v>
      </c>
      <c r="H6" s="8">
        <v>21.09</v>
      </c>
      <c r="I6" s="12">
        <v>0</v>
      </c>
    </row>
    <row r="7" spans="2:9" ht="15" customHeight="1" x14ac:dyDescent="0.2">
      <c r="B7" t="s">
        <v>53</v>
      </c>
      <c r="C7" s="12">
        <v>66</v>
      </c>
      <c r="D7" s="8">
        <v>7.14</v>
      </c>
      <c r="E7" s="12">
        <v>35</v>
      </c>
      <c r="F7" s="8">
        <v>5.49</v>
      </c>
      <c r="G7" s="12">
        <v>31</v>
      </c>
      <c r="H7" s="8">
        <v>11.27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0.22</v>
      </c>
      <c r="E8" s="12">
        <v>0</v>
      </c>
      <c r="F8" s="8">
        <v>0</v>
      </c>
      <c r="G8" s="12">
        <v>1</v>
      </c>
      <c r="H8" s="8">
        <v>0.36</v>
      </c>
      <c r="I8" s="12">
        <v>0</v>
      </c>
    </row>
    <row r="9" spans="2:9" ht="15" customHeight="1" x14ac:dyDescent="0.2">
      <c r="B9" t="s">
        <v>55</v>
      </c>
      <c r="C9" s="12">
        <v>2</v>
      </c>
      <c r="D9" s="8">
        <v>0.22</v>
      </c>
      <c r="E9" s="12">
        <v>1</v>
      </c>
      <c r="F9" s="8">
        <v>0.16</v>
      </c>
      <c r="G9" s="12">
        <v>1</v>
      </c>
      <c r="H9" s="8">
        <v>0.36</v>
      </c>
      <c r="I9" s="12">
        <v>0</v>
      </c>
    </row>
    <row r="10" spans="2:9" ht="15" customHeight="1" x14ac:dyDescent="0.2">
      <c r="B10" t="s">
        <v>56</v>
      </c>
      <c r="C10" s="12">
        <v>26</v>
      </c>
      <c r="D10" s="8">
        <v>2.81</v>
      </c>
      <c r="E10" s="12">
        <v>8</v>
      </c>
      <c r="F10" s="8">
        <v>1.26</v>
      </c>
      <c r="G10" s="12">
        <v>18</v>
      </c>
      <c r="H10" s="8">
        <v>6.55</v>
      </c>
      <c r="I10" s="12">
        <v>0</v>
      </c>
    </row>
    <row r="11" spans="2:9" ht="15" customHeight="1" x14ac:dyDescent="0.2">
      <c r="B11" t="s">
        <v>57</v>
      </c>
      <c r="C11" s="12">
        <v>258</v>
      </c>
      <c r="D11" s="8">
        <v>27.89</v>
      </c>
      <c r="E11" s="12">
        <v>176</v>
      </c>
      <c r="F11" s="8">
        <v>27.63</v>
      </c>
      <c r="G11" s="12">
        <v>82</v>
      </c>
      <c r="H11" s="8">
        <v>29.82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0.22</v>
      </c>
      <c r="E12" s="12">
        <v>1</v>
      </c>
      <c r="F12" s="8">
        <v>0.16</v>
      </c>
      <c r="G12" s="12">
        <v>1</v>
      </c>
      <c r="H12" s="8">
        <v>0.36</v>
      </c>
      <c r="I12" s="12">
        <v>0</v>
      </c>
    </row>
    <row r="13" spans="2:9" ht="15" customHeight="1" x14ac:dyDescent="0.2">
      <c r="B13" t="s">
        <v>59</v>
      </c>
      <c r="C13" s="12">
        <v>86</v>
      </c>
      <c r="D13" s="8">
        <v>9.3000000000000007</v>
      </c>
      <c r="E13" s="12">
        <v>66</v>
      </c>
      <c r="F13" s="8">
        <v>10.36</v>
      </c>
      <c r="G13" s="12">
        <v>20</v>
      </c>
      <c r="H13" s="8">
        <v>7.27</v>
      </c>
      <c r="I13" s="12">
        <v>0</v>
      </c>
    </row>
    <row r="14" spans="2:9" ht="15" customHeight="1" x14ac:dyDescent="0.2">
      <c r="B14" t="s">
        <v>60</v>
      </c>
      <c r="C14" s="12">
        <v>31</v>
      </c>
      <c r="D14" s="8">
        <v>3.35</v>
      </c>
      <c r="E14" s="12">
        <v>17</v>
      </c>
      <c r="F14" s="8">
        <v>2.67</v>
      </c>
      <c r="G14" s="12">
        <v>14</v>
      </c>
      <c r="H14" s="8">
        <v>5.09</v>
      </c>
      <c r="I14" s="12">
        <v>0</v>
      </c>
    </row>
    <row r="15" spans="2:9" ht="15" customHeight="1" x14ac:dyDescent="0.2">
      <c r="B15" t="s">
        <v>61</v>
      </c>
      <c r="C15" s="12">
        <v>84</v>
      </c>
      <c r="D15" s="8">
        <v>9.08</v>
      </c>
      <c r="E15" s="12">
        <v>69</v>
      </c>
      <c r="F15" s="8">
        <v>10.83</v>
      </c>
      <c r="G15" s="12">
        <v>10</v>
      </c>
      <c r="H15" s="8">
        <v>3.64</v>
      </c>
      <c r="I15" s="12">
        <v>0</v>
      </c>
    </row>
    <row r="16" spans="2:9" ht="15" customHeight="1" x14ac:dyDescent="0.2">
      <c r="B16" t="s">
        <v>62</v>
      </c>
      <c r="C16" s="12">
        <v>129</v>
      </c>
      <c r="D16" s="8">
        <v>13.95</v>
      </c>
      <c r="E16" s="12">
        <v>111</v>
      </c>
      <c r="F16" s="8">
        <v>17.43</v>
      </c>
      <c r="G16" s="12">
        <v>18</v>
      </c>
      <c r="H16" s="8">
        <v>6.55</v>
      </c>
      <c r="I16" s="12">
        <v>0</v>
      </c>
    </row>
    <row r="17" spans="2:9" ht="15" customHeight="1" x14ac:dyDescent="0.2">
      <c r="B17" t="s">
        <v>63</v>
      </c>
      <c r="C17" s="12">
        <v>17</v>
      </c>
      <c r="D17" s="8">
        <v>1.84</v>
      </c>
      <c r="E17" s="12">
        <v>12</v>
      </c>
      <c r="F17" s="8">
        <v>1.88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34</v>
      </c>
      <c r="D18" s="8">
        <v>3.68</v>
      </c>
      <c r="E18" s="12">
        <v>21</v>
      </c>
      <c r="F18" s="8">
        <v>3.3</v>
      </c>
      <c r="G18" s="12">
        <v>13</v>
      </c>
      <c r="H18" s="8">
        <v>4.7300000000000004</v>
      </c>
      <c r="I18" s="12">
        <v>0</v>
      </c>
    </row>
    <row r="19" spans="2:9" ht="15" customHeight="1" x14ac:dyDescent="0.2">
      <c r="B19" t="s">
        <v>65</v>
      </c>
      <c r="C19" s="12">
        <v>28</v>
      </c>
      <c r="D19" s="8">
        <v>3.03</v>
      </c>
      <c r="E19" s="12">
        <v>18</v>
      </c>
      <c r="F19" s="8">
        <v>2.83</v>
      </c>
      <c r="G19" s="12">
        <v>8</v>
      </c>
      <c r="H19" s="8">
        <v>2.91</v>
      </c>
      <c r="I19" s="12">
        <v>1</v>
      </c>
    </row>
    <row r="20" spans="2:9" ht="15" customHeight="1" x14ac:dyDescent="0.2">
      <c r="B20" s="9" t="s">
        <v>281</v>
      </c>
      <c r="C20" s="12">
        <f>SUM(LTBL_43212[総数／事業所数])</f>
        <v>925</v>
      </c>
      <c r="E20" s="12">
        <f>SUBTOTAL(109,LTBL_43212[個人／事業所数])</f>
        <v>637</v>
      </c>
      <c r="G20" s="12">
        <f>SUBTOTAL(109,LTBL_43212[法人／事業所数])</f>
        <v>275</v>
      </c>
      <c r="I20" s="12">
        <f>SUBTOTAL(109,LTBL_43212[法人以外の団体／事業所数])</f>
        <v>1</v>
      </c>
    </row>
    <row r="21" spans="2:9" ht="15" customHeight="1" x14ac:dyDescent="0.2">
      <c r="E21" s="11">
        <f>LTBL_43212[[#Totals],[個人／事業所数]]/LTBL_43212[[#Totals],[総数／事業所数]]</f>
        <v>0.68864864864864861</v>
      </c>
      <c r="G21" s="11">
        <f>LTBL_43212[[#Totals],[法人／事業所数]]/LTBL_43212[[#Totals],[総数／事業所数]]</f>
        <v>0.29729729729729731</v>
      </c>
      <c r="I21" s="11">
        <f>LTBL_43212[[#Totals],[法人以外の団体／事業所数]]/LTBL_43212[[#Totals],[総数／事業所数]]</f>
        <v>1.0810810810810811E-3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81</v>
      </c>
      <c r="C24" s="12">
        <v>114</v>
      </c>
      <c r="D24" s="8">
        <v>12.32</v>
      </c>
      <c r="E24" s="12">
        <v>95</v>
      </c>
      <c r="F24" s="8">
        <v>14.91</v>
      </c>
      <c r="G24" s="12">
        <v>19</v>
      </c>
      <c r="H24" s="8">
        <v>6.91</v>
      </c>
      <c r="I24" s="12">
        <v>0</v>
      </c>
    </row>
    <row r="25" spans="2:9" ht="15" customHeight="1" x14ac:dyDescent="0.2">
      <c r="B25" t="s">
        <v>89</v>
      </c>
      <c r="C25" s="12">
        <v>104</v>
      </c>
      <c r="D25" s="8">
        <v>11.24</v>
      </c>
      <c r="E25" s="12">
        <v>96</v>
      </c>
      <c r="F25" s="8">
        <v>15.07</v>
      </c>
      <c r="G25" s="12">
        <v>8</v>
      </c>
      <c r="H25" s="8">
        <v>2.91</v>
      </c>
      <c r="I25" s="12">
        <v>0</v>
      </c>
    </row>
    <row r="26" spans="2:9" ht="15" customHeight="1" x14ac:dyDescent="0.2">
      <c r="B26" t="s">
        <v>74</v>
      </c>
      <c r="C26" s="12">
        <v>85</v>
      </c>
      <c r="D26" s="8">
        <v>9.19</v>
      </c>
      <c r="E26" s="12">
        <v>41</v>
      </c>
      <c r="F26" s="8">
        <v>6.44</v>
      </c>
      <c r="G26" s="12">
        <v>44</v>
      </c>
      <c r="H26" s="8">
        <v>16</v>
      </c>
      <c r="I26" s="12">
        <v>0</v>
      </c>
    </row>
    <row r="27" spans="2:9" ht="15" customHeight="1" x14ac:dyDescent="0.2">
      <c r="B27" t="s">
        <v>85</v>
      </c>
      <c r="C27" s="12">
        <v>75</v>
      </c>
      <c r="D27" s="8">
        <v>8.11</v>
      </c>
      <c r="E27" s="12">
        <v>63</v>
      </c>
      <c r="F27" s="8">
        <v>9.89</v>
      </c>
      <c r="G27" s="12">
        <v>12</v>
      </c>
      <c r="H27" s="8">
        <v>4.3600000000000003</v>
      </c>
      <c r="I27" s="12">
        <v>0</v>
      </c>
    </row>
    <row r="28" spans="2:9" ht="15" customHeight="1" x14ac:dyDescent="0.2">
      <c r="B28" t="s">
        <v>83</v>
      </c>
      <c r="C28" s="12">
        <v>69</v>
      </c>
      <c r="D28" s="8">
        <v>7.46</v>
      </c>
      <c r="E28" s="12">
        <v>34</v>
      </c>
      <c r="F28" s="8">
        <v>5.34</v>
      </c>
      <c r="G28" s="12">
        <v>35</v>
      </c>
      <c r="H28" s="8">
        <v>12.73</v>
      </c>
      <c r="I28" s="12">
        <v>0</v>
      </c>
    </row>
    <row r="29" spans="2:9" ht="15" customHeight="1" x14ac:dyDescent="0.2">
      <c r="B29" t="s">
        <v>88</v>
      </c>
      <c r="C29" s="12">
        <v>59</v>
      </c>
      <c r="D29" s="8">
        <v>6.38</v>
      </c>
      <c r="E29" s="12">
        <v>52</v>
      </c>
      <c r="F29" s="8">
        <v>8.16</v>
      </c>
      <c r="G29" s="12">
        <v>7</v>
      </c>
      <c r="H29" s="8">
        <v>2.5499999999999998</v>
      </c>
      <c r="I29" s="12">
        <v>0</v>
      </c>
    </row>
    <row r="30" spans="2:9" ht="15" customHeight="1" x14ac:dyDescent="0.2">
      <c r="B30" t="s">
        <v>75</v>
      </c>
      <c r="C30" s="12">
        <v>50</v>
      </c>
      <c r="D30" s="8">
        <v>5.41</v>
      </c>
      <c r="E30" s="12">
        <v>46</v>
      </c>
      <c r="F30" s="8">
        <v>7.22</v>
      </c>
      <c r="G30" s="12">
        <v>4</v>
      </c>
      <c r="H30" s="8">
        <v>1.45</v>
      </c>
      <c r="I30" s="12">
        <v>0</v>
      </c>
    </row>
    <row r="31" spans="2:9" ht="15" customHeight="1" x14ac:dyDescent="0.2">
      <c r="B31" t="s">
        <v>76</v>
      </c>
      <c r="C31" s="12">
        <v>25</v>
      </c>
      <c r="D31" s="8">
        <v>2.7</v>
      </c>
      <c r="E31" s="12">
        <v>15</v>
      </c>
      <c r="F31" s="8">
        <v>2.35</v>
      </c>
      <c r="G31" s="12">
        <v>10</v>
      </c>
      <c r="H31" s="8">
        <v>3.64</v>
      </c>
      <c r="I31" s="12">
        <v>0</v>
      </c>
    </row>
    <row r="32" spans="2:9" ht="15" customHeight="1" x14ac:dyDescent="0.2">
      <c r="B32" t="s">
        <v>87</v>
      </c>
      <c r="C32" s="12">
        <v>22</v>
      </c>
      <c r="D32" s="8">
        <v>2.38</v>
      </c>
      <c r="E32" s="12">
        <v>8</v>
      </c>
      <c r="F32" s="8">
        <v>1.26</v>
      </c>
      <c r="G32" s="12">
        <v>14</v>
      </c>
      <c r="H32" s="8">
        <v>5.09</v>
      </c>
      <c r="I32" s="12">
        <v>0</v>
      </c>
    </row>
    <row r="33" spans="2:9" ht="15" customHeight="1" x14ac:dyDescent="0.2">
      <c r="B33" t="s">
        <v>91</v>
      </c>
      <c r="C33" s="12">
        <v>21</v>
      </c>
      <c r="D33" s="8">
        <v>2.27</v>
      </c>
      <c r="E33" s="12">
        <v>21</v>
      </c>
      <c r="F33" s="8">
        <v>3.3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82</v>
      </c>
      <c r="C34" s="12">
        <v>17</v>
      </c>
      <c r="D34" s="8">
        <v>1.84</v>
      </c>
      <c r="E34" s="12">
        <v>14</v>
      </c>
      <c r="F34" s="8">
        <v>2.2000000000000002</v>
      </c>
      <c r="G34" s="12">
        <v>3</v>
      </c>
      <c r="H34" s="8">
        <v>1.0900000000000001</v>
      </c>
      <c r="I34" s="12">
        <v>0</v>
      </c>
    </row>
    <row r="35" spans="2:9" ht="15" customHeight="1" x14ac:dyDescent="0.2">
      <c r="B35" t="s">
        <v>90</v>
      </c>
      <c r="C35" s="12">
        <v>17</v>
      </c>
      <c r="D35" s="8">
        <v>1.84</v>
      </c>
      <c r="E35" s="12">
        <v>12</v>
      </c>
      <c r="F35" s="8">
        <v>1.88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105</v>
      </c>
      <c r="C36" s="12">
        <v>16</v>
      </c>
      <c r="D36" s="8">
        <v>1.73</v>
      </c>
      <c r="E36" s="12">
        <v>3</v>
      </c>
      <c r="F36" s="8">
        <v>0.47</v>
      </c>
      <c r="G36" s="12">
        <v>13</v>
      </c>
      <c r="H36" s="8">
        <v>4.7300000000000004</v>
      </c>
      <c r="I36" s="12">
        <v>0</v>
      </c>
    </row>
    <row r="37" spans="2:9" ht="15" customHeight="1" x14ac:dyDescent="0.2">
      <c r="B37" t="s">
        <v>77</v>
      </c>
      <c r="C37" s="12">
        <v>15</v>
      </c>
      <c r="D37" s="8">
        <v>1.62</v>
      </c>
      <c r="E37" s="12">
        <v>10</v>
      </c>
      <c r="F37" s="8">
        <v>1.57</v>
      </c>
      <c r="G37" s="12">
        <v>5</v>
      </c>
      <c r="H37" s="8">
        <v>1.82</v>
      </c>
      <c r="I37" s="12">
        <v>0</v>
      </c>
    </row>
    <row r="38" spans="2:9" ht="15" customHeight="1" x14ac:dyDescent="0.2">
      <c r="B38" t="s">
        <v>104</v>
      </c>
      <c r="C38" s="12">
        <v>15</v>
      </c>
      <c r="D38" s="8">
        <v>1.62</v>
      </c>
      <c r="E38" s="12">
        <v>8</v>
      </c>
      <c r="F38" s="8">
        <v>1.26</v>
      </c>
      <c r="G38" s="12">
        <v>7</v>
      </c>
      <c r="H38" s="8">
        <v>2.5499999999999998</v>
      </c>
      <c r="I38" s="12">
        <v>0</v>
      </c>
    </row>
    <row r="39" spans="2:9" ht="15" customHeight="1" x14ac:dyDescent="0.2">
      <c r="B39" t="s">
        <v>80</v>
      </c>
      <c r="C39" s="12">
        <v>15</v>
      </c>
      <c r="D39" s="8">
        <v>1.62</v>
      </c>
      <c r="E39" s="12">
        <v>10</v>
      </c>
      <c r="F39" s="8">
        <v>1.57</v>
      </c>
      <c r="G39" s="12">
        <v>5</v>
      </c>
      <c r="H39" s="8">
        <v>1.82</v>
      </c>
      <c r="I39" s="12">
        <v>0</v>
      </c>
    </row>
    <row r="40" spans="2:9" ht="15" customHeight="1" x14ac:dyDescent="0.2">
      <c r="B40" t="s">
        <v>101</v>
      </c>
      <c r="C40" s="12">
        <v>15</v>
      </c>
      <c r="D40" s="8">
        <v>1.62</v>
      </c>
      <c r="E40" s="12">
        <v>8</v>
      </c>
      <c r="F40" s="8">
        <v>1.26</v>
      </c>
      <c r="G40" s="12">
        <v>2</v>
      </c>
      <c r="H40" s="8">
        <v>0.73</v>
      </c>
      <c r="I40" s="12">
        <v>0</v>
      </c>
    </row>
    <row r="41" spans="2:9" ht="15" customHeight="1" x14ac:dyDescent="0.2">
      <c r="B41" t="s">
        <v>100</v>
      </c>
      <c r="C41" s="12">
        <v>15</v>
      </c>
      <c r="D41" s="8">
        <v>1.62</v>
      </c>
      <c r="E41" s="12">
        <v>11</v>
      </c>
      <c r="F41" s="8">
        <v>1.73</v>
      </c>
      <c r="G41" s="12">
        <v>4</v>
      </c>
      <c r="H41" s="8">
        <v>1.45</v>
      </c>
      <c r="I41" s="12">
        <v>0</v>
      </c>
    </row>
    <row r="42" spans="2:9" ht="15" customHeight="1" x14ac:dyDescent="0.2">
      <c r="B42" t="s">
        <v>78</v>
      </c>
      <c r="C42" s="12">
        <v>14</v>
      </c>
      <c r="D42" s="8">
        <v>1.51</v>
      </c>
      <c r="E42" s="12">
        <v>7</v>
      </c>
      <c r="F42" s="8">
        <v>1.1000000000000001</v>
      </c>
      <c r="G42" s="12">
        <v>7</v>
      </c>
      <c r="H42" s="8">
        <v>2.5499999999999998</v>
      </c>
      <c r="I42" s="12">
        <v>0</v>
      </c>
    </row>
    <row r="43" spans="2:9" ht="15" customHeight="1" x14ac:dyDescent="0.2">
      <c r="B43" t="s">
        <v>103</v>
      </c>
      <c r="C43" s="12">
        <v>13</v>
      </c>
      <c r="D43" s="8">
        <v>1.41</v>
      </c>
      <c r="E43" s="12">
        <v>8</v>
      </c>
      <c r="F43" s="8">
        <v>1.26</v>
      </c>
      <c r="G43" s="12">
        <v>5</v>
      </c>
      <c r="H43" s="8">
        <v>1.82</v>
      </c>
      <c r="I43" s="12">
        <v>0</v>
      </c>
    </row>
    <row r="44" spans="2:9" ht="15" customHeight="1" x14ac:dyDescent="0.2">
      <c r="B44" t="s">
        <v>99</v>
      </c>
      <c r="C44" s="12">
        <v>13</v>
      </c>
      <c r="D44" s="8">
        <v>1.41</v>
      </c>
      <c r="E44" s="12">
        <v>5</v>
      </c>
      <c r="F44" s="8">
        <v>0.78</v>
      </c>
      <c r="G44" s="12">
        <v>8</v>
      </c>
      <c r="H44" s="8">
        <v>2.91</v>
      </c>
      <c r="I44" s="12">
        <v>0</v>
      </c>
    </row>
    <row r="45" spans="2:9" ht="15" customHeight="1" x14ac:dyDescent="0.2">
      <c r="B45" t="s">
        <v>92</v>
      </c>
      <c r="C45" s="12">
        <v>13</v>
      </c>
      <c r="D45" s="8">
        <v>1.41</v>
      </c>
      <c r="E45" s="12">
        <v>0</v>
      </c>
      <c r="F45" s="8">
        <v>0</v>
      </c>
      <c r="G45" s="12">
        <v>13</v>
      </c>
      <c r="H45" s="8">
        <v>4.7300000000000004</v>
      </c>
      <c r="I45" s="12">
        <v>0</v>
      </c>
    </row>
    <row r="46" spans="2:9" ht="15" customHeight="1" x14ac:dyDescent="0.2">
      <c r="B46" t="s">
        <v>93</v>
      </c>
      <c r="C46" s="12">
        <v>13</v>
      </c>
      <c r="D46" s="8">
        <v>1.41</v>
      </c>
      <c r="E46" s="12">
        <v>12</v>
      </c>
      <c r="F46" s="8">
        <v>1.88</v>
      </c>
      <c r="G46" s="12">
        <v>1</v>
      </c>
      <c r="H46" s="8">
        <v>0.36</v>
      </c>
      <c r="I46" s="12">
        <v>0</v>
      </c>
    </row>
    <row r="49" spans="2:9" ht="33" customHeight="1" x14ac:dyDescent="0.2">
      <c r="B49" t="s">
        <v>283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145</v>
      </c>
      <c r="C50" s="12">
        <v>71</v>
      </c>
      <c r="D50" s="8">
        <v>7.68</v>
      </c>
      <c r="E50" s="12">
        <v>62</v>
      </c>
      <c r="F50" s="8">
        <v>9.73</v>
      </c>
      <c r="G50" s="12">
        <v>9</v>
      </c>
      <c r="H50" s="8">
        <v>3.27</v>
      </c>
      <c r="I50" s="12">
        <v>0</v>
      </c>
    </row>
    <row r="51" spans="2:9" ht="15" customHeight="1" x14ac:dyDescent="0.2">
      <c r="B51" t="s">
        <v>151</v>
      </c>
      <c r="C51" s="12">
        <v>55</v>
      </c>
      <c r="D51" s="8">
        <v>5.95</v>
      </c>
      <c r="E51" s="12">
        <v>52</v>
      </c>
      <c r="F51" s="8">
        <v>8.16</v>
      </c>
      <c r="G51" s="12">
        <v>3</v>
      </c>
      <c r="H51" s="8">
        <v>1.0900000000000001</v>
      </c>
      <c r="I51" s="12">
        <v>0</v>
      </c>
    </row>
    <row r="52" spans="2:9" ht="15" customHeight="1" x14ac:dyDescent="0.2">
      <c r="B52" t="s">
        <v>140</v>
      </c>
      <c r="C52" s="12">
        <v>44</v>
      </c>
      <c r="D52" s="8">
        <v>4.76</v>
      </c>
      <c r="E52" s="12">
        <v>34</v>
      </c>
      <c r="F52" s="8">
        <v>5.34</v>
      </c>
      <c r="G52" s="12">
        <v>10</v>
      </c>
      <c r="H52" s="8">
        <v>3.64</v>
      </c>
      <c r="I52" s="12">
        <v>0</v>
      </c>
    </row>
    <row r="53" spans="2:9" ht="15" customHeight="1" x14ac:dyDescent="0.2">
      <c r="B53" t="s">
        <v>135</v>
      </c>
      <c r="C53" s="12">
        <v>29</v>
      </c>
      <c r="D53" s="8">
        <v>3.14</v>
      </c>
      <c r="E53" s="12">
        <v>7</v>
      </c>
      <c r="F53" s="8">
        <v>1.1000000000000001</v>
      </c>
      <c r="G53" s="12">
        <v>22</v>
      </c>
      <c r="H53" s="8">
        <v>8</v>
      </c>
      <c r="I53" s="12">
        <v>0</v>
      </c>
    </row>
    <row r="54" spans="2:9" ht="15" customHeight="1" x14ac:dyDescent="0.2">
      <c r="B54" t="s">
        <v>137</v>
      </c>
      <c r="C54" s="12">
        <v>29</v>
      </c>
      <c r="D54" s="8">
        <v>3.14</v>
      </c>
      <c r="E54" s="12">
        <v>24</v>
      </c>
      <c r="F54" s="8">
        <v>3.77</v>
      </c>
      <c r="G54" s="12">
        <v>5</v>
      </c>
      <c r="H54" s="8">
        <v>1.82</v>
      </c>
      <c r="I54" s="12">
        <v>0</v>
      </c>
    </row>
    <row r="55" spans="2:9" ht="15" customHeight="1" x14ac:dyDescent="0.2">
      <c r="B55" t="s">
        <v>150</v>
      </c>
      <c r="C55" s="12">
        <v>28</v>
      </c>
      <c r="D55" s="8">
        <v>3.03</v>
      </c>
      <c r="E55" s="12">
        <v>27</v>
      </c>
      <c r="F55" s="8">
        <v>4.24</v>
      </c>
      <c r="G55" s="12">
        <v>1</v>
      </c>
      <c r="H55" s="8">
        <v>0.36</v>
      </c>
      <c r="I55" s="12">
        <v>0</v>
      </c>
    </row>
    <row r="56" spans="2:9" ht="15" customHeight="1" x14ac:dyDescent="0.2">
      <c r="B56" t="s">
        <v>168</v>
      </c>
      <c r="C56" s="12">
        <v>24</v>
      </c>
      <c r="D56" s="8">
        <v>2.59</v>
      </c>
      <c r="E56" s="12">
        <v>7</v>
      </c>
      <c r="F56" s="8">
        <v>1.1000000000000001</v>
      </c>
      <c r="G56" s="12">
        <v>17</v>
      </c>
      <c r="H56" s="8">
        <v>6.18</v>
      </c>
      <c r="I56" s="12">
        <v>0</v>
      </c>
    </row>
    <row r="57" spans="2:9" ht="15" customHeight="1" x14ac:dyDescent="0.2">
      <c r="B57" t="s">
        <v>136</v>
      </c>
      <c r="C57" s="12">
        <v>17</v>
      </c>
      <c r="D57" s="8">
        <v>1.84</v>
      </c>
      <c r="E57" s="12">
        <v>7</v>
      </c>
      <c r="F57" s="8">
        <v>1.1000000000000001</v>
      </c>
      <c r="G57" s="12">
        <v>10</v>
      </c>
      <c r="H57" s="8">
        <v>3.64</v>
      </c>
      <c r="I57" s="12">
        <v>0</v>
      </c>
    </row>
    <row r="58" spans="2:9" ht="15" customHeight="1" x14ac:dyDescent="0.2">
      <c r="B58" t="s">
        <v>146</v>
      </c>
      <c r="C58" s="12">
        <v>17</v>
      </c>
      <c r="D58" s="8">
        <v>1.84</v>
      </c>
      <c r="E58" s="12">
        <v>4</v>
      </c>
      <c r="F58" s="8">
        <v>0.63</v>
      </c>
      <c r="G58" s="12">
        <v>13</v>
      </c>
      <c r="H58" s="8">
        <v>4.7300000000000004</v>
      </c>
      <c r="I58" s="12">
        <v>0</v>
      </c>
    </row>
    <row r="59" spans="2:9" ht="15" customHeight="1" x14ac:dyDescent="0.2">
      <c r="B59" t="s">
        <v>153</v>
      </c>
      <c r="C59" s="12">
        <v>17</v>
      </c>
      <c r="D59" s="8">
        <v>1.84</v>
      </c>
      <c r="E59" s="12">
        <v>17</v>
      </c>
      <c r="F59" s="8">
        <v>2.67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177</v>
      </c>
      <c r="C60" s="12">
        <v>15</v>
      </c>
      <c r="D60" s="8">
        <v>1.62</v>
      </c>
      <c r="E60" s="12">
        <v>8</v>
      </c>
      <c r="F60" s="8">
        <v>1.26</v>
      </c>
      <c r="G60" s="12">
        <v>7</v>
      </c>
      <c r="H60" s="8">
        <v>2.5499999999999998</v>
      </c>
      <c r="I60" s="12">
        <v>0</v>
      </c>
    </row>
    <row r="61" spans="2:9" ht="15" customHeight="1" x14ac:dyDescent="0.2">
      <c r="B61" t="s">
        <v>174</v>
      </c>
      <c r="C61" s="12">
        <v>15</v>
      </c>
      <c r="D61" s="8">
        <v>1.62</v>
      </c>
      <c r="E61" s="12">
        <v>12</v>
      </c>
      <c r="F61" s="8">
        <v>1.88</v>
      </c>
      <c r="G61" s="12">
        <v>3</v>
      </c>
      <c r="H61" s="8">
        <v>1.0900000000000001</v>
      </c>
      <c r="I61" s="12">
        <v>0</v>
      </c>
    </row>
    <row r="62" spans="2:9" ht="15" customHeight="1" x14ac:dyDescent="0.2">
      <c r="B62" t="s">
        <v>143</v>
      </c>
      <c r="C62" s="12">
        <v>15</v>
      </c>
      <c r="D62" s="8">
        <v>1.62</v>
      </c>
      <c r="E62" s="12">
        <v>12</v>
      </c>
      <c r="F62" s="8">
        <v>1.88</v>
      </c>
      <c r="G62" s="12">
        <v>3</v>
      </c>
      <c r="H62" s="8">
        <v>1.0900000000000001</v>
      </c>
      <c r="I62" s="12">
        <v>0</v>
      </c>
    </row>
    <row r="63" spans="2:9" ht="15" customHeight="1" x14ac:dyDescent="0.2">
      <c r="B63" t="s">
        <v>147</v>
      </c>
      <c r="C63" s="12">
        <v>15</v>
      </c>
      <c r="D63" s="8">
        <v>1.62</v>
      </c>
      <c r="E63" s="12">
        <v>10</v>
      </c>
      <c r="F63" s="8">
        <v>1.57</v>
      </c>
      <c r="G63" s="12">
        <v>5</v>
      </c>
      <c r="H63" s="8">
        <v>1.82</v>
      </c>
      <c r="I63" s="12">
        <v>0</v>
      </c>
    </row>
    <row r="64" spans="2:9" ht="15" customHeight="1" x14ac:dyDescent="0.2">
      <c r="B64" t="s">
        <v>179</v>
      </c>
      <c r="C64" s="12">
        <v>14</v>
      </c>
      <c r="D64" s="8">
        <v>1.51</v>
      </c>
      <c r="E64" s="12">
        <v>11</v>
      </c>
      <c r="F64" s="8">
        <v>1.73</v>
      </c>
      <c r="G64" s="12">
        <v>3</v>
      </c>
      <c r="H64" s="8">
        <v>1.0900000000000001</v>
      </c>
      <c r="I64" s="12">
        <v>0</v>
      </c>
    </row>
    <row r="65" spans="2:9" ht="15" customHeight="1" x14ac:dyDescent="0.2">
      <c r="B65" t="s">
        <v>166</v>
      </c>
      <c r="C65" s="12">
        <v>14</v>
      </c>
      <c r="D65" s="8">
        <v>1.51</v>
      </c>
      <c r="E65" s="12">
        <v>14</v>
      </c>
      <c r="F65" s="8">
        <v>2.2000000000000002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178</v>
      </c>
      <c r="C66" s="12">
        <v>13</v>
      </c>
      <c r="D66" s="8">
        <v>1.41</v>
      </c>
      <c r="E66" s="12">
        <v>2</v>
      </c>
      <c r="F66" s="8">
        <v>0.31</v>
      </c>
      <c r="G66" s="12">
        <v>11</v>
      </c>
      <c r="H66" s="8">
        <v>4</v>
      </c>
      <c r="I66" s="12">
        <v>0</v>
      </c>
    </row>
    <row r="67" spans="2:9" ht="15" customHeight="1" x14ac:dyDescent="0.2">
      <c r="B67" t="s">
        <v>154</v>
      </c>
      <c r="C67" s="12">
        <v>13</v>
      </c>
      <c r="D67" s="8">
        <v>1.41</v>
      </c>
      <c r="E67" s="12">
        <v>12</v>
      </c>
      <c r="F67" s="8">
        <v>1.88</v>
      </c>
      <c r="G67" s="12">
        <v>1</v>
      </c>
      <c r="H67" s="8">
        <v>0.36</v>
      </c>
      <c r="I67" s="12">
        <v>0</v>
      </c>
    </row>
    <row r="68" spans="2:9" ht="15" customHeight="1" x14ac:dyDescent="0.2">
      <c r="B68" t="s">
        <v>138</v>
      </c>
      <c r="C68" s="12">
        <v>12</v>
      </c>
      <c r="D68" s="8">
        <v>1.3</v>
      </c>
      <c r="E68" s="12">
        <v>5</v>
      </c>
      <c r="F68" s="8">
        <v>0.78</v>
      </c>
      <c r="G68" s="12">
        <v>7</v>
      </c>
      <c r="H68" s="8">
        <v>2.5499999999999998</v>
      </c>
      <c r="I68" s="12">
        <v>0</v>
      </c>
    </row>
    <row r="69" spans="2:9" ht="15" customHeight="1" x14ac:dyDescent="0.2">
      <c r="B69" t="s">
        <v>164</v>
      </c>
      <c r="C69" s="12">
        <v>12</v>
      </c>
      <c r="D69" s="8">
        <v>1.3</v>
      </c>
      <c r="E69" s="12">
        <v>5</v>
      </c>
      <c r="F69" s="8">
        <v>0.78</v>
      </c>
      <c r="G69" s="12">
        <v>7</v>
      </c>
      <c r="H69" s="8">
        <v>2.5499999999999998</v>
      </c>
      <c r="I69" s="12">
        <v>0</v>
      </c>
    </row>
    <row r="70" spans="2:9" ht="15" customHeight="1" x14ac:dyDescent="0.2">
      <c r="B70" t="s">
        <v>160</v>
      </c>
      <c r="C70" s="12">
        <v>12</v>
      </c>
      <c r="D70" s="8">
        <v>1.3</v>
      </c>
      <c r="E70" s="12">
        <v>11</v>
      </c>
      <c r="F70" s="8">
        <v>1.73</v>
      </c>
      <c r="G70" s="12">
        <v>1</v>
      </c>
      <c r="H70" s="8">
        <v>0.36</v>
      </c>
      <c r="I70" s="12">
        <v>0</v>
      </c>
    </row>
    <row r="71" spans="2:9" ht="15" customHeight="1" x14ac:dyDescent="0.2">
      <c r="B71" t="s">
        <v>180</v>
      </c>
      <c r="C71" s="12">
        <v>12</v>
      </c>
      <c r="D71" s="8">
        <v>1.3</v>
      </c>
      <c r="E71" s="12">
        <v>0</v>
      </c>
      <c r="F71" s="8">
        <v>0</v>
      </c>
      <c r="G71" s="12">
        <v>12</v>
      </c>
      <c r="H71" s="8">
        <v>4.3600000000000003</v>
      </c>
      <c r="I71" s="12">
        <v>0</v>
      </c>
    </row>
    <row r="73" spans="2:9" ht="15" customHeight="1" x14ac:dyDescent="0.2">
      <c r="B73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8F09-5975-4393-AF39-59A38F1C02D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197</v>
      </c>
      <c r="D6" s="8">
        <v>16.11</v>
      </c>
      <c r="E6" s="12">
        <v>83</v>
      </c>
      <c r="F6" s="8">
        <v>12.43</v>
      </c>
      <c r="G6" s="12">
        <v>114</v>
      </c>
      <c r="H6" s="8">
        <v>21.19</v>
      </c>
      <c r="I6" s="12">
        <v>0</v>
      </c>
    </row>
    <row r="7" spans="2:9" ht="15" customHeight="1" x14ac:dyDescent="0.2">
      <c r="B7" t="s">
        <v>53</v>
      </c>
      <c r="C7" s="12">
        <v>67</v>
      </c>
      <c r="D7" s="8">
        <v>5.48</v>
      </c>
      <c r="E7" s="12">
        <v>20</v>
      </c>
      <c r="F7" s="8">
        <v>2.99</v>
      </c>
      <c r="G7" s="12">
        <v>47</v>
      </c>
      <c r="H7" s="8">
        <v>8.74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0.33</v>
      </c>
      <c r="E8" s="12">
        <v>0</v>
      </c>
      <c r="F8" s="8">
        <v>0</v>
      </c>
      <c r="G8" s="12">
        <v>4</v>
      </c>
      <c r="H8" s="8">
        <v>0.74</v>
      </c>
      <c r="I8" s="12">
        <v>0</v>
      </c>
    </row>
    <row r="9" spans="2:9" ht="15" customHeight="1" x14ac:dyDescent="0.2">
      <c r="B9" t="s">
        <v>55</v>
      </c>
      <c r="C9" s="12">
        <v>6</v>
      </c>
      <c r="D9" s="8">
        <v>0.49</v>
      </c>
      <c r="E9" s="12">
        <v>0</v>
      </c>
      <c r="F9" s="8">
        <v>0</v>
      </c>
      <c r="G9" s="12">
        <v>6</v>
      </c>
      <c r="H9" s="8">
        <v>1.1200000000000001</v>
      </c>
      <c r="I9" s="12">
        <v>0</v>
      </c>
    </row>
    <row r="10" spans="2:9" ht="15" customHeight="1" x14ac:dyDescent="0.2">
      <c r="B10" t="s">
        <v>56</v>
      </c>
      <c r="C10" s="12">
        <v>21</v>
      </c>
      <c r="D10" s="8">
        <v>1.72</v>
      </c>
      <c r="E10" s="12">
        <v>5</v>
      </c>
      <c r="F10" s="8">
        <v>0.75</v>
      </c>
      <c r="G10" s="12">
        <v>16</v>
      </c>
      <c r="H10" s="8">
        <v>2.97</v>
      </c>
      <c r="I10" s="12">
        <v>0</v>
      </c>
    </row>
    <row r="11" spans="2:9" ht="15" customHeight="1" x14ac:dyDescent="0.2">
      <c r="B11" t="s">
        <v>57</v>
      </c>
      <c r="C11" s="12">
        <v>352</v>
      </c>
      <c r="D11" s="8">
        <v>28.78</v>
      </c>
      <c r="E11" s="12">
        <v>182</v>
      </c>
      <c r="F11" s="8">
        <v>27.25</v>
      </c>
      <c r="G11" s="12">
        <v>169</v>
      </c>
      <c r="H11" s="8">
        <v>31.41</v>
      </c>
      <c r="I11" s="12">
        <v>1</v>
      </c>
    </row>
    <row r="12" spans="2:9" ht="15" customHeight="1" x14ac:dyDescent="0.2">
      <c r="B12" t="s">
        <v>58</v>
      </c>
      <c r="C12" s="12">
        <v>8</v>
      </c>
      <c r="D12" s="8">
        <v>0.65</v>
      </c>
      <c r="E12" s="12">
        <v>1</v>
      </c>
      <c r="F12" s="8">
        <v>0.15</v>
      </c>
      <c r="G12" s="12">
        <v>7</v>
      </c>
      <c r="H12" s="8">
        <v>1.3</v>
      </c>
      <c r="I12" s="12">
        <v>0</v>
      </c>
    </row>
    <row r="13" spans="2:9" ht="15" customHeight="1" x14ac:dyDescent="0.2">
      <c r="B13" t="s">
        <v>59</v>
      </c>
      <c r="C13" s="12">
        <v>39</v>
      </c>
      <c r="D13" s="8">
        <v>3.19</v>
      </c>
      <c r="E13" s="12">
        <v>10</v>
      </c>
      <c r="F13" s="8">
        <v>1.5</v>
      </c>
      <c r="G13" s="12">
        <v>29</v>
      </c>
      <c r="H13" s="8">
        <v>5.39</v>
      </c>
      <c r="I13" s="12">
        <v>0</v>
      </c>
    </row>
    <row r="14" spans="2:9" ht="15" customHeight="1" x14ac:dyDescent="0.2">
      <c r="B14" t="s">
        <v>60</v>
      </c>
      <c r="C14" s="12">
        <v>60</v>
      </c>
      <c r="D14" s="8">
        <v>4.91</v>
      </c>
      <c r="E14" s="12">
        <v>25</v>
      </c>
      <c r="F14" s="8">
        <v>3.74</v>
      </c>
      <c r="G14" s="12">
        <v>35</v>
      </c>
      <c r="H14" s="8">
        <v>6.51</v>
      </c>
      <c r="I14" s="12">
        <v>0</v>
      </c>
    </row>
    <row r="15" spans="2:9" ht="15" customHeight="1" x14ac:dyDescent="0.2">
      <c r="B15" t="s">
        <v>61</v>
      </c>
      <c r="C15" s="12">
        <v>117</v>
      </c>
      <c r="D15" s="8">
        <v>9.57</v>
      </c>
      <c r="E15" s="12">
        <v>92</v>
      </c>
      <c r="F15" s="8">
        <v>13.77</v>
      </c>
      <c r="G15" s="12">
        <v>23</v>
      </c>
      <c r="H15" s="8">
        <v>4.28</v>
      </c>
      <c r="I15" s="12">
        <v>1</v>
      </c>
    </row>
    <row r="16" spans="2:9" ht="15" customHeight="1" x14ac:dyDescent="0.2">
      <c r="B16" t="s">
        <v>62</v>
      </c>
      <c r="C16" s="12">
        <v>174</v>
      </c>
      <c r="D16" s="8">
        <v>14.23</v>
      </c>
      <c r="E16" s="12">
        <v>140</v>
      </c>
      <c r="F16" s="8">
        <v>20.96</v>
      </c>
      <c r="G16" s="12">
        <v>33</v>
      </c>
      <c r="H16" s="8">
        <v>6.13</v>
      </c>
      <c r="I16" s="12">
        <v>0</v>
      </c>
    </row>
    <row r="17" spans="2:9" ht="15" customHeight="1" x14ac:dyDescent="0.2">
      <c r="B17" t="s">
        <v>63</v>
      </c>
      <c r="C17" s="12">
        <v>55</v>
      </c>
      <c r="D17" s="8">
        <v>4.5</v>
      </c>
      <c r="E17" s="12">
        <v>38</v>
      </c>
      <c r="F17" s="8">
        <v>5.69</v>
      </c>
      <c r="G17" s="12">
        <v>7</v>
      </c>
      <c r="H17" s="8">
        <v>1.3</v>
      </c>
      <c r="I17" s="12">
        <v>0</v>
      </c>
    </row>
    <row r="18" spans="2:9" ht="15" customHeight="1" x14ac:dyDescent="0.2">
      <c r="B18" t="s">
        <v>64</v>
      </c>
      <c r="C18" s="12">
        <v>65</v>
      </c>
      <c r="D18" s="8">
        <v>5.31</v>
      </c>
      <c r="E18" s="12">
        <v>40</v>
      </c>
      <c r="F18" s="8">
        <v>5.99</v>
      </c>
      <c r="G18" s="12">
        <v>22</v>
      </c>
      <c r="H18" s="8">
        <v>4.09</v>
      </c>
      <c r="I18" s="12">
        <v>1</v>
      </c>
    </row>
    <row r="19" spans="2:9" ht="15" customHeight="1" x14ac:dyDescent="0.2">
      <c r="B19" t="s">
        <v>65</v>
      </c>
      <c r="C19" s="12">
        <v>58</v>
      </c>
      <c r="D19" s="8">
        <v>4.74</v>
      </c>
      <c r="E19" s="12">
        <v>32</v>
      </c>
      <c r="F19" s="8">
        <v>4.79</v>
      </c>
      <c r="G19" s="12">
        <v>26</v>
      </c>
      <c r="H19" s="8">
        <v>4.83</v>
      </c>
      <c r="I19" s="12">
        <v>0</v>
      </c>
    </row>
    <row r="20" spans="2:9" ht="15" customHeight="1" x14ac:dyDescent="0.2">
      <c r="B20" s="9" t="s">
        <v>281</v>
      </c>
      <c r="C20" s="12">
        <f>SUM(LTBL_43213[総数／事業所数])</f>
        <v>1223</v>
      </c>
      <c r="E20" s="12">
        <f>SUBTOTAL(109,LTBL_43213[個人／事業所数])</f>
        <v>668</v>
      </c>
      <c r="G20" s="12">
        <f>SUBTOTAL(109,LTBL_43213[法人／事業所数])</f>
        <v>538</v>
      </c>
      <c r="I20" s="12">
        <f>SUBTOTAL(109,LTBL_43213[法人以外の団体／事業所数])</f>
        <v>3</v>
      </c>
    </row>
    <row r="21" spans="2:9" ht="15" customHeight="1" x14ac:dyDescent="0.2">
      <c r="E21" s="11">
        <f>LTBL_43213[[#Totals],[個人／事業所数]]/LTBL_43213[[#Totals],[総数／事業所数]]</f>
        <v>0.54619787408013087</v>
      </c>
      <c r="G21" s="11">
        <f>LTBL_43213[[#Totals],[法人／事業所数]]/LTBL_43213[[#Totals],[総数／事業所数]]</f>
        <v>0.43990188062142271</v>
      </c>
      <c r="I21" s="11">
        <f>LTBL_43213[[#Totals],[法人以外の団体／事業所数]]/LTBL_43213[[#Totals],[総数／事業所数]]</f>
        <v>2.4529844644317253E-3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149</v>
      </c>
      <c r="D24" s="8">
        <v>12.18</v>
      </c>
      <c r="E24" s="12">
        <v>128</v>
      </c>
      <c r="F24" s="8">
        <v>19.16</v>
      </c>
      <c r="G24" s="12">
        <v>21</v>
      </c>
      <c r="H24" s="8">
        <v>3.9</v>
      </c>
      <c r="I24" s="12">
        <v>0</v>
      </c>
    </row>
    <row r="25" spans="2:9" ht="15" customHeight="1" x14ac:dyDescent="0.2">
      <c r="B25" t="s">
        <v>83</v>
      </c>
      <c r="C25" s="12">
        <v>101</v>
      </c>
      <c r="D25" s="8">
        <v>8.26</v>
      </c>
      <c r="E25" s="12">
        <v>49</v>
      </c>
      <c r="F25" s="8">
        <v>7.34</v>
      </c>
      <c r="G25" s="12">
        <v>52</v>
      </c>
      <c r="H25" s="8">
        <v>9.67</v>
      </c>
      <c r="I25" s="12">
        <v>0</v>
      </c>
    </row>
    <row r="26" spans="2:9" ht="15" customHeight="1" x14ac:dyDescent="0.2">
      <c r="B26" t="s">
        <v>74</v>
      </c>
      <c r="C26" s="12">
        <v>99</v>
      </c>
      <c r="D26" s="8">
        <v>8.09</v>
      </c>
      <c r="E26" s="12">
        <v>41</v>
      </c>
      <c r="F26" s="8">
        <v>6.14</v>
      </c>
      <c r="G26" s="12">
        <v>58</v>
      </c>
      <c r="H26" s="8">
        <v>10.78</v>
      </c>
      <c r="I26" s="12">
        <v>0</v>
      </c>
    </row>
    <row r="27" spans="2:9" ht="15" customHeight="1" x14ac:dyDescent="0.2">
      <c r="B27" t="s">
        <v>88</v>
      </c>
      <c r="C27" s="12">
        <v>98</v>
      </c>
      <c r="D27" s="8">
        <v>8.01</v>
      </c>
      <c r="E27" s="12">
        <v>82</v>
      </c>
      <c r="F27" s="8">
        <v>12.28</v>
      </c>
      <c r="G27" s="12">
        <v>15</v>
      </c>
      <c r="H27" s="8">
        <v>2.79</v>
      </c>
      <c r="I27" s="12">
        <v>1</v>
      </c>
    </row>
    <row r="28" spans="2:9" ht="15" customHeight="1" x14ac:dyDescent="0.2">
      <c r="B28" t="s">
        <v>81</v>
      </c>
      <c r="C28" s="12">
        <v>97</v>
      </c>
      <c r="D28" s="8">
        <v>7.93</v>
      </c>
      <c r="E28" s="12">
        <v>69</v>
      </c>
      <c r="F28" s="8">
        <v>10.33</v>
      </c>
      <c r="G28" s="12">
        <v>28</v>
      </c>
      <c r="H28" s="8">
        <v>5.2</v>
      </c>
      <c r="I28" s="12">
        <v>0</v>
      </c>
    </row>
    <row r="29" spans="2:9" ht="15" customHeight="1" x14ac:dyDescent="0.2">
      <c r="B29" t="s">
        <v>82</v>
      </c>
      <c r="C29" s="12">
        <v>55</v>
      </c>
      <c r="D29" s="8">
        <v>4.5</v>
      </c>
      <c r="E29" s="12">
        <v>34</v>
      </c>
      <c r="F29" s="8">
        <v>5.09</v>
      </c>
      <c r="G29" s="12">
        <v>21</v>
      </c>
      <c r="H29" s="8">
        <v>3.9</v>
      </c>
      <c r="I29" s="12">
        <v>0</v>
      </c>
    </row>
    <row r="30" spans="2:9" ht="15" customHeight="1" x14ac:dyDescent="0.2">
      <c r="B30" t="s">
        <v>90</v>
      </c>
      <c r="C30" s="12">
        <v>55</v>
      </c>
      <c r="D30" s="8">
        <v>4.5</v>
      </c>
      <c r="E30" s="12">
        <v>38</v>
      </c>
      <c r="F30" s="8">
        <v>5.69</v>
      </c>
      <c r="G30" s="12">
        <v>7</v>
      </c>
      <c r="H30" s="8">
        <v>1.3</v>
      </c>
      <c r="I30" s="12">
        <v>0</v>
      </c>
    </row>
    <row r="31" spans="2:9" ht="15" customHeight="1" x14ac:dyDescent="0.2">
      <c r="B31" t="s">
        <v>75</v>
      </c>
      <c r="C31" s="12">
        <v>50</v>
      </c>
      <c r="D31" s="8">
        <v>4.09</v>
      </c>
      <c r="E31" s="12">
        <v>22</v>
      </c>
      <c r="F31" s="8">
        <v>3.29</v>
      </c>
      <c r="G31" s="12">
        <v>28</v>
      </c>
      <c r="H31" s="8">
        <v>5.2</v>
      </c>
      <c r="I31" s="12">
        <v>0</v>
      </c>
    </row>
    <row r="32" spans="2:9" ht="15" customHeight="1" x14ac:dyDescent="0.2">
      <c r="B32" t="s">
        <v>76</v>
      </c>
      <c r="C32" s="12">
        <v>48</v>
      </c>
      <c r="D32" s="8">
        <v>3.92</v>
      </c>
      <c r="E32" s="12">
        <v>20</v>
      </c>
      <c r="F32" s="8">
        <v>2.99</v>
      </c>
      <c r="G32" s="12">
        <v>28</v>
      </c>
      <c r="H32" s="8">
        <v>5.2</v>
      </c>
      <c r="I32" s="12">
        <v>0</v>
      </c>
    </row>
    <row r="33" spans="2:9" ht="15" customHeight="1" x14ac:dyDescent="0.2">
      <c r="B33" t="s">
        <v>91</v>
      </c>
      <c r="C33" s="12">
        <v>44</v>
      </c>
      <c r="D33" s="8">
        <v>3.6</v>
      </c>
      <c r="E33" s="12">
        <v>40</v>
      </c>
      <c r="F33" s="8">
        <v>5.99</v>
      </c>
      <c r="G33" s="12">
        <v>4</v>
      </c>
      <c r="H33" s="8">
        <v>0.74</v>
      </c>
      <c r="I33" s="12">
        <v>0</v>
      </c>
    </row>
    <row r="34" spans="2:9" ht="15" customHeight="1" x14ac:dyDescent="0.2">
      <c r="B34" t="s">
        <v>87</v>
      </c>
      <c r="C34" s="12">
        <v>35</v>
      </c>
      <c r="D34" s="8">
        <v>2.86</v>
      </c>
      <c r="E34" s="12">
        <v>6</v>
      </c>
      <c r="F34" s="8">
        <v>0.9</v>
      </c>
      <c r="G34" s="12">
        <v>29</v>
      </c>
      <c r="H34" s="8">
        <v>5.39</v>
      </c>
      <c r="I34" s="12">
        <v>0</v>
      </c>
    </row>
    <row r="35" spans="2:9" ht="15" customHeight="1" x14ac:dyDescent="0.2">
      <c r="B35" t="s">
        <v>93</v>
      </c>
      <c r="C35" s="12">
        <v>35</v>
      </c>
      <c r="D35" s="8">
        <v>2.86</v>
      </c>
      <c r="E35" s="12">
        <v>29</v>
      </c>
      <c r="F35" s="8">
        <v>4.34</v>
      </c>
      <c r="G35" s="12">
        <v>6</v>
      </c>
      <c r="H35" s="8">
        <v>1.1200000000000001</v>
      </c>
      <c r="I35" s="12">
        <v>0</v>
      </c>
    </row>
    <row r="36" spans="2:9" ht="15" customHeight="1" x14ac:dyDescent="0.2">
      <c r="B36" t="s">
        <v>80</v>
      </c>
      <c r="C36" s="12">
        <v>28</v>
      </c>
      <c r="D36" s="8">
        <v>2.29</v>
      </c>
      <c r="E36" s="12">
        <v>9</v>
      </c>
      <c r="F36" s="8">
        <v>1.35</v>
      </c>
      <c r="G36" s="12">
        <v>19</v>
      </c>
      <c r="H36" s="8">
        <v>3.53</v>
      </c>
      <c r="I36" s="12">
        <v>0</v>
      </c>
    </row>
    <row r="37" spans="2:9" ht="15" customHeight="1" x14ac:dyDescent="0.2">
      <c r="B37" t="s">
        <v>85</v>
      </c>
      <c r="C37" s="12">
        <v>26</v>
      </c>
      <c r="D37" s="8">
        <v>2.13</v>
      </c>
      <c r="E37" s="12">
        <v>8</v>
      </c>
      <c r="F37" s="8">
        <v>1.2</v>
      </c>
      <c r="G37" s="12">
        <v>18</v>
      </c>
      <c r="H37" s="8">
        <v>3.35</v>
      </c>
      <c r="I37" s="12">
        <v>0</v>
      </c>
    </row>
    <row r="38" spans="2:9" ht="15" customHeight="1" x14ac:dyDescent="0.2">
      <c r="B38" t="s">
        <v>86</v>
      </c>
      <c r="C38" s="12">
        <v>25</v>
      </c>
      <c r="D38" s="8">
        <v>2.04</v>
      </c>
      <c r="E38" s="12">
        <v>19</v>
      </c>
      <c r="F38" s="8">
        <v>2.84</v>
      </c>
      <c r="G38" s="12">
        <v>6</v>
      </c>
      <c r="H38" s="8">
        <v>1.1200000000000001</v>
      </c>
      <c r="I38" s="12">
        <v>0</v>
      </c>
    </row>
    <row r="39" spans="2:9" ht="15" customHeight="1" x14ac:dyDescent="0.2">
      <c r="B39" t="s">
        <v>78</v>
      </c>
      <c r="C39" s="12">
        <v>21</v>
      </c>
      <c r="D39" s="8">
        <v>1.72</v>
      </c>
      <c r="E39" s="12">
        <v>7</v>
      </c>
      <c r="F39" s="8">
        <v>1.05</v>
      </c>
      <c r="G39" s="12">
        <v>13</v>
      </c>
      <c r="H39" s="8">
        <v>2.42</v>
      </c>
      <c r="I39" s="12">
        <v>1</v>
      </c>
    </row>
    <row r="40" spans="2:9" ht="15" customHeight="1" x14ac:dyDescent="0.2">
      <c r="B40" t="s">
        <v>92</v>
      </c>
      <c r="C40" s="12">
        <v>21</v>
      </c>
      <c r="D40" s="8">
        <v>1.72</v>
      </c>
      <c r="E40" s="12">
        <v>0</v>
      </c>
      <c r="F40" s="8">
        <v>0</v>
      </c>
      <c r="G40" s="12">
        <v>18</v>
      </c>
      <c r="H40" s="8">
        <v>3.35</v>
      </c>
      <c r="I40" s="12">
        <v>1</v>
      </c>
    </row>
    <row r="41" spans="2:9" ht="15" customHeight="1" x14ac:dyDescent="0.2">
      <c r="B41" t="s">
        <v>97</v>
      </c>
      <c r="C41" s="12">
        <v>17</v>
      </c>
      <c r="D41" s="8">
        <v>1.39</v>
      </c>
      <c r="E41" s="12">
        <v>9</v>
      </c>
      <c r="F41" s="8">
        <v>1.35</v>
      </c>
      <c r="G41" s="12">
        <v>8</v>
      </c>
      <c r="H41" s="8">
        <v>1.49</v>
      </c>
      <c r="I41" s="12">
        <v>0</v>
      </c>
    </row>
    <row r="42" spans="2:9" ht="15" customHeight="1" x14ac:dyDescent="0.2">
      <c r="B42" t="s">
        <v>77</v>
      </c>
      <c r="C42" s="12">
        <v>16</v>
      </c>
      <c r="D42" s="8">
        <v>1.31</v>
      </c>
      <c r="E42" s="12">
        <v>5</v>
      </c>
      <c r="F42" s="8">
        <v>0.75</v>
      </c>
      <c r="G42" s="12">
        <v>11</v>
      </c>
      <c r="H42" s="8">
        <v>2.04</v>
      </c>
      <c r="I42" s="12">
        <v>0</v>
      </c>
    </row>
    <row r="43" spans="2:9" ht="15" customHeight="1" x14ac:dyDescent="0.2">
      <c r="B43" t="s">
        <v>99</v>
      </c>
      <c r="C43" s="12">
        <v>16</v>
      </c>
      <c r="D43" s="8">
        <v>1.31</v>
      </c>
      <c r="E43" s="12">
        <v>4</v>
      </c>
      <c r="F43" s="8">
        <v>0.6</v>
      </c>
      <c r="G43" s="12">
        <v>12</v>
      </c>
      <c r="H43" s="8">
        <v>2.23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72</v>
      </c>
      <c r="D47" s="8">
        <v>5.89</v>
      </c>
      <c r="E47" s="12">
        <v>64</v>
      </c>
      <c r="F47" s="8">
        <v>9.58</v>
      </c>
      <c r="G47" s="12">
        <v>8</v>
      </c>
      <c r="H47" s="8">
        <v>1.49</v>
      </c>
      <c r="I47" s="12">
        <v>0</v>
      </c>
    </row>
    <row r="48" spans="2:9" ht="15" customHeight="1" x14ac:dyDescent="0.2">
      <c r="B48" t="s">
        <v>150</v>
      </c>
      <c r="C48" s="12">
        <v>47</v>
      </c>
      <c r="D48" s="8">
        <v>3.84</v>
      </c>
      <c r="E48" s="12">
        <v>46</v>
      </c>
      <c r="F48" s="8">
        <v>6.89</v>
      </c>
      <c r="G48" s="12">
        <v>1</v>
      </c>
      <c r="H48" s="8">
        <v>0.19</v>
      </c>
      <c r="I48" s="12">
        <v>0</v>
      </c>
    </row>
    <row r="49" spans="2:9" ht="15" customHeight="1" x14ac:dyDescent="0.2">
      <c r="B49" t="s">
        <v>140</v>
      </c>
      <c r="C49" s="12">
        <v>43</v>
      </c>
      <c r="D49" s="8">
        <v>3.52</v>
      </c>
      <c r="E49" s="12">
        <v>27</v>
      </c>
      <c r="F49" s="8">
        <v>4.04</v>
      </c>
      <c r="G49" s="12">
        <v>16</v>
      </c>
      <c r="H49" s="8">
        <v>2.97</v>
      </c>
      <c r="I49" s="12">
        <v>0</v>
      </c>
    </row>
    <row r="50" spans="2:9" ht="15" customHeight="1" x14ac:dyDescent="0.2">
      <c r="B50" t="s">
        <v>137</v>
      </c>
      <c r="C50" s="12">
        <v>38</v>
      </c>
      <c r="D50" s="8">
        <v>3.11</v>
      </c>
      <c r="E50" s="12">
        <v>21</v>
      </c>
      <c r="F50" s="8">
        <v>3.14</v>
      </c>
      <c r="G50" s="12">
        <v>17</v>
      </c>
      <c r="H50" s="8">
        <v>3.16</v>
      </c>
      <c r="I50" s="12">
        <v>0</v>
      </c>
    </row>
    <row r="51" spans="2:9" ht="15" customHeight="1" x14ac:dyDescent="0.2">
      <c r="B51" t="s">
        <v>141</v>
      </c>
      <c r="C51" s="12">
        <v>36</v>
      </c>
      <c r="D51" s="8">
        <v>2.94</v>
      </c>
      <c r="E51" s="12">
        <v>23</v>
      </c>
      <c r="F51" s="8">
        <v>3.44</v>
      </c>
      <c r="G51" s="12">
        <v>13</v>
      </c>
      <c r="H51" s="8">
        <v>2.42</v>
      </c>
      <c r="I51" s="12">
        <v>0</v>
      </c>
    </row>
    <row r="52" spans="2:9" ht="15" customHeight="1" x14ac:dyDescent="0.2">
      <c r="B52" t="s">
        <v>154</v>
      </c>
      <c r="C52" s="12">
        <v>35</v>
      </c>
      <c r="D52" s="8">
        <v>2.86</v>
      </c>
      <c r="E52" s="12">
        <v>29</v>
      </c>
      <c r="F52" s="8">
        <v>4.34</v>
      </c>
      <c r="G52" s="12">
        <v>6</v>
      </c>
      <c r="H52" s="8">
        <v>1.1200000000000001</v>
      </c>
      <c r="I52" s="12">
        <v>0</v>
      </c>
    </row>
    <row r="53" spans="2:9" ht="15" customHeight="1" x14ac:dyDescent="0.2">
      <c r="B53" t="s">
        <v>135</v>
      </c>
      <c r="C53" s="12">
        <v>30</v>
      </c>
      <c r="D53" s="8">
        <v>2.4500000000000002</v>
      </c>
      <c r="E53" s="12">
        <v>5</v>
      </c>
      <c r="F53" s="8">
        <v>0.75</v>
      </c>
      <c r="G53" s="12">
        <v>25</v>
      </c>
      <c r="H53" s="8">
        <v>4.6500000000000004</v>
      </c>
      <c r="I53" s="12">
        <v>0</v>
      </c>
    </row>
    <row r="54" spans="2:9" ht="15" customHeight="1" x14ac:dyDescent="0.2">
      <c r="B54" t="s">
        <v>153</v>
      </c>
      <c r="C54" s="12">
        <v>30</v>
      </c>
      <c r="D54" s="8">
        <v>2.4500000000000002</v>
      </c>
      <c r="E54" s="12">
        <v>27</v>
      </c>
      <c r="F54" s="8">
        <v>4.04</v>
      </c>
      <c r="G54" s="12">
        <v>3</v>
      </c>
      <c r="H54" s="8">
        <v>0.56000000000000005</v>
      </c>
      <c r="I54" s="12">
        <v>0</v>
      </c>
    </row>
    <row r="55" spans="2:9" ht="15" customHeight="1" x14ac:dyDescent="0.2">
      <c r="B55" t="s">
        <v>152</v>
      </c>
      <c r="C55" s="12">
        <v>29</v>
      </c>
      <c r="D55" s="8">
        <v>2.37</v>
      </c>
      <c r="E55" s="12">
        <v>26</v>
      </c>
      <c r="F55" s="8">
        <v>3.89</v>
      </c>
      <c r="G55" s="12">
        <v>3</v>
      </c>
      <c r="H55" s="8">
        <v>0.56000000000000005</v>
      </c>
      <c r="I55" s="12">
        <v>0</v>
      </c>
    </row>
    <row r="56" spans="2:9" ht="15" customHeight="1" x14ac:dyDescent="0.2">
      <c r="B56" t="s">
        <v>148</v>
      </c>
      <c r="C56" s="12">
        <v>28</v>
      </c>
      <c r="D56" s="8">
        <v>2.29</v>
      </c>
      <c r="E56" s="12">
        <v>25</v>
      </c>
      <c r="F56" s="8">
        <v>3.74</v>
      </c>
      <c r="G56" s="12">
        <v>3</v>
      </c>
      <c r="H56" s="8">
        <v>0.56000000000000005</v>
      </c>
      <c r="I56" s="12">
        <v>0</v>
      </c>
    </row>
    <row r="57" spans="2:9" ht="15" customHeight="1" x14ac:dyDescent="0.2">
      <c r="B57" t="s">
        <v>147</v>
      </c>
      <c r="C57" s="12">
        <v>26</v>
      </c>
      <c r="D57" s="8">
        <v>2.13</v>
      </c>
      <c r="E57" s="12">
        <v>19</v>
      </c>
      <c r="F57" s="8">
        <v>2.84</v>
      </c>
      <c r="G57" s="12">
        <v>7</v>
      </c>
      <c r="H57" s="8">
        <v>1.3</v>
      </c>
      <c r="I57" s="12">
        <v>0</v>
      </c>
    </row>
    <row r="58" spans="2:9" ht="15" customHeight="1" x14ac:dyDescent="0.2">
      <c r="B58" t="s">
        <v>138</v>
      </c>
      <c r="C58" s="12">
        <v>25</v>
      </c>
      <c r="D58" s="8">
        <v>2.04</v>
      </c>
      <c r="E58" s="12">
        <v>14</v>
      </c>
      <c r="F58" s="8">
        <v>2.1</v>
      </c>
      <c r="G58" s="12">
        <v>11</v>
      </c>
      <c r="H58" s="8">
        <v>2.04</v>
      </c>
      <c r="I58" s="12">
        <v>0</v>
      </c>
    </row>
    <row r="59" spans="2:9" ht="15" customHeight="1" x14ac:dyDescent="0.2">
      <c r="B59" t="s">
        <v>146</v>
      </c>
      <c r="C59" s="12">
        <v>23</v>
      </c>
      <c r="D59" s="8">
        <v>1.88</v>
      </c>
      <c r="E59" s="12">
        <v>3</v>
      </c>
      <c r="F59" s="8">
        <v>0.45</v>
      </c>
      <c r="G59" s="12">
        <v>20</v>
      </c>
      <c r="H59" s="8">
        <v>3.72</v>
      </c>
      <c r="I59" s="12">
        <v>0</v>
      </c>
    </row>
    <row r="60" spans="2:9" ht="15" customHeight="1" x14ac:dyDescent="0.2">
      <c r="B60" t="s">
        <v>166</v>
      </c>
      <c r="C60" s="12">
        <v>21</v>
      </c>
      <c r="D60" s="8">
        <v>1.72</v>
      </c>
      <c r="E60" s="12">
        <v>17</v>
      </c>
      <c r="F60" s="8">
        <v>2.54</v>
      </c>
      <c r="G60" s="12">
        <v>4</v>
      </c>
      <c r="H60" s="8">
        <v>0.74</v>
      </c>
      <c r="I60" s="12">
        <v>0</v>
      </c>
    </row>
    <row r="61" spans="2:9" ht="15" customHeight="1" x14ac:dyDescent="0.2">
      <c r="B61" t="s">
        <v>143</v>
      </c>
      <c r="C61" s="12">
        <v>21</v>
      </c>
      <c r="D61" s="8">
        <v>1.72</v>
      </c>
      <c r="E61" s="12">
        <v>13</v>
      </c>
      <c r="F61" s="8">
        <v>1.95</v>
      </c>
      <c r="G61" s="12">
        <v>8</v>
      </c>
      <c r="H61" s="8">
        <v>1.49</v>
      </c>
      <c r="I61" s="12">
        <v>0</v>
      </c>
    </row>
    <row r="62" spans="2:9" ht="15" customHeight="1" x14ac:dyDescent="0.2">
      <c r="B62" t="s">
        <v>136</v>
      </c>
      <c r="C62" s="12">
        <v>20</v>
      </c>
      <c r="D62" s="8">
        <v>1.64</v>
      </c>
      <c r="E62" s="12">
        <v>9</v>
      </c>
      <c r="F62" s="8">
        <v>1.35</v>
      </c>
      <c r="G62" s="12">
        <v>11</v>
      </c>
      <c r="H62" s="8">
        <v>2.04</v>
      </c>
      <c r="I62" s="12">
        <v>0</v>
      </c>
    </row>
    <row r="63" spans="2:9" ht="15" customHeight="1" x14ac:dyDescent="0.2">
      <c r="B63" t="s">
        <v>168</v>
      </c>
      <c r="C63" s="12">
        <v>20</v>
      </c>
      <c r="D63" s="8">
        <v>1.64</v>
      </c>
      <c r="E63" s="12">
        <v>8</v>
      </c>
      <c r="F63" s="8">
        <v>1.2</v>
      </c>
      <c r="G63" s="12">
        <v>12</v>
      </c>
      <c r="H63" s="8">
        <v>2.23</v>
      </c>
      <c r="I63" s="12">
        <v>0</v>
      </c>
    </row>
    <row r="64" spans="2:9" ht="15" customHeight="1" x14ac:dyDescent="0.2">
      <c r="B64" t="s">
        <v>142</v>
      </c>
      <c r="C64" s="12">
        <v>17</v>
      </c>
      <c r="D64" s="8">
        <v>1.39</v>
      </c>
      <c r="E64" s="12">
        <v>4</v>
      </c>
      <c r="F64" s="8">
        <v>0.6</v>
      </c>
      <c r="G64" s="12">
        <v>13</v>
      </c>
      <c r="H64" s="8">
        <v>2.42</v>
      </c>
      <c r="I64" s="12">
        <v>0</v>
      </c>
    </row>
    <row r="65" spans="2:9" ht="15" customHeight="1" x14ac:dyDescent="0.2">
      <c r="B65" t="s">
        <v>160</v>
      </c>
      <c r="C65" s="12">
        <v>17</v>
      </c>
      <c r="D65" s="8">
        <v>1.39</v>
      </c>
      <c r="E65" s="12">
        <v>8</v>
      </c>
      <c r="F65" s="8">
        <v>1.2</v>
      </c>
      <c r="G65" s="12">
        <v>9</v>
      </c>
      <c r="H65" s="8">
        <v>1.67</v>
      </c>
      <c r="I65" s="12">
        <v>0</v>
      </c>
    </row>
    <row r="66" spans="2:9" ht="15" customHeight="1" x14ac:dyDescent="0.2">
      <c r="B66" t="s">
        <v>163</v>
      </c>
      <c r="C66" s="12">
        <v>16</v>
      </c>
      <c r="D66" s="8">
        <v>1.31</v>
      </c>
      <c r="E66" s="12">
        <v>3</v>
      </c>
      <c r="F66" s="8">
        <v>0.45</v>
      </c>
      <c r="G66" s="12">
        <v>13</v>
      </c>
      <c r="H66" s="8">
        <v>2.42</v>
      </c>
      <c r="I66" s="12">
        <v>0</v>
      </c>
    </row>
    <row r="67" spans="2:9" ht="15" customHeight="1" x14ac:dyDescent="0.2">
      <c r="B67" t="s">
        <v>167</v>
      </c>
      <c r="C67" s="12">
        <v>16</v>
      </c>
      <c r="D67" s="8">
        <v>1.31</v>
      </c>
      <c r="E67" s="12">
        <v>9</v>
      </c>
      <c r="F67" s="8">
        <v>1.35</v>
      </c>
      <c r="G67" s="12">
        <v>7</v>
      </c>
      <c r="H67" s="8">
        <v>1.3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FFE2-B005-41F8-9FFE-66141811AFF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2</v>
      </c>
      <c r="D5" s="8">
        <v>0.27</v>
      </c>
      <c r="E5" s="12">
        <v>0</v>
      </c>
      <c r="F5" s="8">
        <v>0</v>
      </c>
      <c r="G5" s="12">
        <v>2</v>
      </c>
      <c r="H5" s="8">
        <v>0.65</v>
      </c>
      <c r="I5" s="12">
        <v>0</v>
      </c>
    </row>
    <row r="6" spans="2:9" ht="15" customHeight="1" x14ac:dyDescent="0.2">
      <c r="B6" t="s">
        <v>52</v>
      </c>
      <c r="C6" s="12">
        <v>94</v>
      </c>
      <c r="D6" s="8">
        <v>12.47</v>
      </c>
      <c r="E6" s="12">
        <v>34</v>
      </c>
      <c r="F6" s="8">
        <v>7.87</v>
      </c>
      <c r="G6" s="12">
        <v>60</v>
      </c>
      <c r="H6" s="8">
        <v>19.350000000000001</v>
      </c>
      <c r="I6" s="12">
        <v>0</v>
      </c>
    </row>
    <row r="7" spans="2:9" ht="15" customHeight="1" x14ac:dyDescent="0.2">
      <c r="B7" t="s">
        <v>53</v>
      </c>
      <c r="C7" s="12">
        <v>51</v>
      </c>
      <c r="D7" s="8">
        <v>6.76</v>
      </c>
      <c r="E7" s="12">
        <v>20</v>
      </c>
      <c r="F7" s="8">
        <v>4.63</v>
      </c>
      <c r="G7" s="12">
        <v>31</v>
      </c>
      <c r="H7" s="8">
        <v>10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0.27</v>
      </c>
      <c r="E8" s="12">
        <v>0</v>
      </c>
      <c r="F8" s="8">
        <v>0</v>
      </c>
      <c r="G8" s="12">
        <v>1</v>
      </c>
      <c r="H8" s="8">
        <v>0.32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0.53</v>
      </c>
      <c r="E9" s="12">
        <v>0</v>
      </c>
      <c r="F9" s="8">
        <v>0</v>
      </c>
      <c r="G9" s="12">
        <v>4</v>
      </c>
      <c r="H9" s="8">
        <v>1.29</v>
      </c>
      <c r="I9" s="12">
        <v>0</v>
      </c>
    </row>
    <row r="10" spans="2:9" ht="15" customHeight="1" x14ac:dyDescent="0.2">
      <c r="B10" t="s">
        <v>56</v>
      </c>
      <c r="C10" s="12">
        <v>8</v>
      </c>
      <c r="D10" s="8">
        <v>1.06</v>
      </c>
      <c r="E10" s="12">
        <v>0</v>
      </c>
      <c r="F10" s="8">
        <v>0</v>
      </c>
      <c r="G10" s="12">
        <v>7</v>
      </c>
      <c r="H10" s="8">
        <v>2.2599999999999998</v>
      </c>
      <c r="I10" s="12">
        <v>1</v>
      </c>
    </row>
    <row r="11" spans="2:9" ht="15" customHeight="1" x14ac:dyDescent="0.2">
      <c r="B11" t="s">
        <v>57</v>
      </c>
      <c r="C11" s="12">
        <v>202</v>
      </c>
      <c r="D11" s="8">
        <v>26.79</v>
      </c>
      <c r="E11" s="12">
        <v>108</v>
      </c>
      <c r="F11" s="8">
        <v>25</v>
      </c>
      <c r="G11" s="12">
        <v>93</v>
      </c>
      <c r="H11" s="8">
        <v>30</v>
      </c>
      <c r="I11" s="12">
        <v>1</v>
      </c>
    </row>
    <row r="12" spans="2:9" ht="15" customHeight="1" x14ac:dyDescent="0.2">
      <c r="B12" t="s">
        <v>58</v>
      </c>
      <c r="C12" s="12">
        <v>4</v>
      </c>
      <c r="D12" s="8">
        <v>0.53</v>
      </c>
      <c r="E12" s="12">
        <v>1</v>
      </c>
      <c r="F12" s="8">
        <v>0.23</v>
      </c>
      <c r="G12" s="12">
        <v>3</v>
      </c>
      <c r="H12" s="8">
        <v>0.97</v>
      </c>
      <c r="I12" s="12">
        <v>0</v>
      </c>
    </row>
    <row r="13" spans="2:9" ht="15" customHeight="1" x14ac:dyDescent="0.2">
      <c r="B13" t="s">
        <v>59</v>
      </c>
      <c r="C13" s="12">
        <v>16</v>
      </c>
      <c r="D13" s="8">
        <v>2.12</v>
      </c>
      <c r="E13" s="12">
        <v>6</v>
      </c>
      <c r="F13" s="8">
        <v>1.39</v>
      </c>
      <c r="G13" s="12">
        <v>10</v>
      </c>
      <c r="H13" s="8">
        <v>3.23</v>
      </c>
      <c r="I13" s="12">
        <v>0</v>
      </c>
    </row>
    <row r="14" spans="2:9" ht="15" customHeight="1" x14ac:dyDescent="0.2">
      <c r="B14" t="s">
        <v>60</v>
      </c>
      <c r="C14" s="12">
        <v>40</v>
      </c>
      <c r="D14" s="8">
        <v>5.31</v>
      </c>
      <c r="E14" s="12">
        <v>22</v>
      </c>
      <c r="F14" s="8">
        <v>5.09</v>
      </c>
      <c r="G14" s="12">
        <v>18</v>
      </c>
      <c r="H14" s="8">
        <v>5.81</v>
      </c>
      <c r="I14" s="12">
        <v>0</v>
      </c>
    </row>
    <row r="15" spans="2:9" ht="15" customHeight="1" x14ac:dyDescent="0.2">
      <c r="B15" t="s">
        <v>61</v>
      </c>
      <c r="C15" s="12">
        <v>153</v>
      </c>
      <c r="D15" s="8">
        <v>20.29</v>
      </c>
      <c r="E15" s="12">
        <v>117</v>
      </c>
      <c r="F15" s="8">
        <v>27.08</v>
      </c>
      <c r="G15" s="12">
        <v>35</v>
      </c>
      <c r="H15" s="8">
        <v>11.29</v>
      </c>
      <c r="I15" s="12">
        <v>0</v>
      </c>
    </row>
    <row r="16" spans="2:9" ht="15" customHeight="1" x14ac:dyDescent="0.2">
      <c r="B16" t="s">
        <v>62</v>
      </c>
      <c r="C16" s="12">
        <v>92</v>
      </c>
      <c r="D16" s="8">
        <v>12.2</v>
      </c>
      <c r="E16" s="12">
        <v>70</v>
      </c>
      <c r="F16" s="8">
        <v>16.2</v>
      </c>
      <c r="G16" s="12">
        <v>20</v>
      </c>
      <c r="H16" s="8">
        <v>6.45</v>
      </c>
      <c r="I16" s="12">
        <v>0</v>
      </c>
    </row>
    <row r="17" spans="2:9" ht="15" customHeight="1" x14ac:dyDescent="0.2">
      <c r="B17" t="s">
        <v>63</v>
      </c>
      <c r="C17" s="12">
        <v>19</v>
      </c>
      <c r="D17" s="8">
        <v>2.52</v>
      </c>
      <c r="E17" s="12">
        <v>14</v>
      </c>
      <c r="F17" s="8">
        <v>3.24</v>
      </c>
      <c r="G17" s="12">
        <v>4</v>
      </c>
      <c r="H17" s="8">
        <v>1.29</v>
      </c>
      <c r="I17" s="12">
        <v>1</v>
      </c>
    </row>
    <row r="18" spans="2:9" ht="15" customHeight="1" x14ac:dyDescent="0.2">
      <c r="B18" t="s">
        <v>64</v>
      </c>
      <c r="C18" s="12">
        <v>27</v>
      </c>
      <c r="D18" s="8">
        <v>3.58</v>
      </c>
      <c r="E18" s="12">
        <v>22</v>
      </c>
      <c r="F18" s="8">
        <v>5.09</v>
      </c>
      <c r="G18" s="12">
        <v>2</v>
      </c>
      <c r="H18" s="8">
        <v>0.65</v>
      </c>
      <c r="I18" s="12">
        <v>0</v>
      </c>
    </row>
    <row r="19" spans="2:9" ht="15" customHeight="1" x14ac:dyDescent="0.2">
      <c r="B19" t="s">
        <v>65</v>
      </c>
      <c r="C19" s="12">
        <v>40</v>
      </c>
      <c r="D19" s="8">
        <v>5.31</v>
      </c>
      <c r="E19" s="12">
        <v>18</v>
      </c>
      <c r="F19" s="8">
        <v>4.17</v>
      </c>
      <c r="G19" s="12">
        <v>20</v>
      </c>
      <c r="H19" s="8">
        <v>6.45</v>
      </c>
      <c r="I19" s="12">
        <v>0</v>
      </c>
    </row>
    <row r="20" spans="2:9" ht="15" customHeight="1" x14ac:dyDescent="0.2">
      <c r="B20" s="9" t="s">
        <v>281</v>
      </c>
      <c r="C20" s="12">
        <f>SUM(LTBL_43214[総数／事業所数])</f>
        <v>754</v>
      </c>
      <c r="E20" s="12">
        <f>SUBTOTAL(109,LTBL_43214[個人／事業所数])</f>
        <v>432</v>
      </c>
      <c r="G20" s="12">
        <f>SUBTOTAL(109,LTBL_43214[法人／事業所数])</f>
        <v>310</v>
      </c>
      <c r="I20" s="12">
        <f>SUBTOTAL(109,LTBL_43214[法人以外の団体／事業所数])</f>
        <v>3</v>
      </c>
    </row>
    <row r="21" spans="2:9" ht="15" customHeight="1" x14ac:dyDescent="0.2">
      <c r="E21" s="11">
        <f>LTBL_43214[[#Totals],[個人／事業所数]]/LTBL_43214[[#Totals],[総数／事業所数]]</f>
        <v>0.57294429708222816</v>
      </c>
      <c r="G21" s="11">
        <f>LTBL_43214[[#Totals],[法人／事業所数]]/LTBL_43214[[#Totals],[総数／事業所数]]</f>
        <v>0.41114058355437666</v>
      </c>
      <c r="I21" s="11">
        <f>LTBL_43214[[#Totals],[法人以外の団体／事業所数]]/LTBL_43214[[#Totals],[総数／事業所数]]</f>
        <v>3.9787798408488064E-3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114</v>
      </c>
      <c r="D24" s="8">
        <v>15.12</v>
      </c>
      <c r="E24" s="12">
        <v>96</v>
      </c>
      <c r="F24" s="8">
        <v>22.22</v>
      </c>
      <c r="G24" s="12">
        <v>18</v>
      </c>
      <c r="H24" s="8">
        <v>5.81</v>
      </c>
      <c r="I24" s="12">
        <v>0</v>
      </c>
    </row>
    <row r="25" spans="2:9" ht="15" customHeight="1" x14ac:dyDescent="0.2">
      <c r="B25" t="s">
        <v>89</v>
      </c>
      <c r="C25" s="12">
        <v>74</v>
      </c>
      <c r="D25" s="8">
        <v>9.81</v>
      </c>
      <c r="E25" s="12">
        <v>64</v>
      </c>
      <c r="F25" s="8">
        <v>14.81</v>
      </c>
      <c r="G25" s="12">
        <v>9</v>
      </c>
      <c r="H25" s="8">
        <v>2.9</v>
      </c>
      <c r="I25" s="12">
        <v>0</v>
      </c>
    </row>
    <row r="26" spans="2:9" ht="15" customHeight="1" x14ac:dyDescent="0.2">
      <c r="B26" t="s">
        <v>83</v>
      </c>
      <c r="C26" s="12">
        <v>73</v>
      </c>
      <c r="D26" s="8">
        <v>9.68</v>
      </c>
      <c r="E26" s="12">
        <v>39</v>
      </c>
      <c r="F26" s="8">
        <v>9.0299999999999994</v>
      </c>
      <c r="G26" s="12">
        <v>34</v>
      </c>
      <c r="H26" s="8">
        <v>10.97</v>
      </c>
      <c r="I26" s="12">
        <v>0</v>
      </c>
    </row>
    <row r="27" spans="2:9" ht="15" customHeight="1" x14ac:dyDescent="0.2">
      <c r="B27" t="s">
        <v>74</v>
      </c>
      <c r="C27" s="12">
        <v>61</v>
      </c>
      <c r="D27" s="8">
        <v>8.09</v>
      </c>
      <c r="E27" s="12">
        <v>15</v>
      </c>
      <c r="F27" s="8">
        <v>3.47</v>
      </c>
      <c r="G27" s="12">
        <v>46</v>
      </c>
      <c r="H27" s="8">
        <v>14.84</v>
      </c>
      <c r="I27" s="12">
        <v>0</v>
      </c>
    </row>
    <row r="28" spans="2:9" ht="15" customHeight="1" x14ac:dyDescent="0.2">
      <c r="B28" t="s">
        <v>81</v>
      </c>
      <c r="C28" s="12">
        <v>52</v>
      </c>
      <c r="D28" s="8">
        <v>6.9</v>
      </c>
      <c r="E28" s="12">
        <v>37</v>
      </c>
      <c r="F28" s="8">
        <v>8.56</v>
      </c>
      <c r="G28" s="12">
        <v>14</v>
      </c>
      <c r="H28" s="8">
        <v>4.5199999999999996</v>
      </c>
      <c r="I28" s="12">
        <v>1</v>
      </c>
    </row>
    <row r="29" spans="2:9" ht="15" customHeight="1" x14ac:dyDescent="0.2">
      <c r="B29" t="s">
        <v>106</v>
      </c>
      <c r="C29" s="12">
        <v>29</v>
      </c>
      <c r="D29" s="8">
        <v>3.85</v>
      </c>
      <c r="E29" s="12">
        <v>17</v>
      </c>
      <c r="F29" s="8">
        <v>3.94</v>
      </c>
      <c r="G29" s="12">
        <v>12</v>
      </c>
      <c r="H29" s="8">
        <v>3.87</v>
      </c>
      <c r="I29" s="12">
        <v>0</v>
      </c>
    </row>
    <row r="30" spans="2:9" ht="15" customHeight="1" x14ac:dyDescent="0.2">
      <c r="B30" t="s">
        <v>75</v>
      </c>
      <c r="C30" s="12">
        <v>24</v>
      </c>
      <c r="D30" s="8">
        <v>3.18</v>
      </c>
      <c r="E30" s="12">
        <v>14</v>
      </c>
      <c r="F30" s="8">
        <v>3.24</v>
      </c>
      <c r="G30" s="12">
        <v>10</v>
      </c>
      <c r="H30" s="8">
        <v>3.23</v>
      </c>
      <c r="I30" s="12">
        <v>0</v>
      </c>
    </row>
    <row r="31" spans="2:9" ht="15" customHeight="1" x14ac:dyDescent="0.2">
      <c r="B31" t="s">
        <v>82</v>
      </c>
      <c r="C31" s="12">
        <v>24</v>
      </c>
      <c r="D31" s="8">
        <v>3.18</v>
      </c>
      <c r="E31" s="12">
        <v>15</v>
      </c>
      <c r="F31" s="8">
        <v>3.47</v>
      </c>
      <c r="G31" s="12">
        <v>9</v>
      </c>
      <c r="H31" s="8">
        <v>2.9</v>
      </c>
      <c r="I31" s="12">
        <v>0</v>
      </c>
    </row>
    <row r="32" spans="2:9" ht="15" customHeight="1" x14ac:dyDescent="0.2">
      <c r="B32" t="s">
        <v>91</v>
      </c>
      <c r="C32" s="12">
        <v>22</v>
      </c>
      <c r="D32" s="8">
        <v>2.92</v>
      </c>
      <c r="E32" s="12">
        <v>22</v>
      </c>
      <c r="F32" s="8">
        <v>5.09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87</v>
      </c>
      <c r="C33" s="12">
        <v>21</v>
      </c>
      <c r="D33" s="8">
        <v>2.79</v>
      </c>
      <c r="E33" s="12">
        <v>7</v>
      </c>
      <c r="F33" s="8">
        <v>1.62</v>
      </c>
      <c r="G33" s="12">
        <v>14</v>
      </c>
      <c r="H33" s="8">
        <v>4.5199999999999996</v>
      </c>
      <c r="I33" s="12">
        <v>0</v>
      </c>
    </row>
    <row r="34" spans="2:9" ht="15" customHeight="1" x14ac:dyDescent="0.2">
      <c r="B34" t="s">
        <v>86</v>
      </c>
      <c r="C34" s="12">
        <v>19</v>
      </c>
      <c r="D34" s="8">
        <v>2.52</v>
      </c>
      <c r="E34" s="12">
        <v>15</v>
      </c>
      <c r="F34" s="8">
        <v>3.47</v>
      </c>
      <c r="G34" s="12">
        <v>4</v>
      </c>
      <c r="H34" s="8">
        <v>1.29</v>
      </c>
      <c r="I34" s="12">
        <v>0</v>
      </c>
    </row>
    <row r="35" spans="2:9" ht="15" customHeight="1" x14ac:dyDescent="0.2">
      <c r="B35" t="s">
        <v>90</v>
      </c>
      <c r="C35" s="12">
        <v>19</v>
      </c>
      <c r="D35" s="8">
        <v>2.52</v>
      </c>
      <c r="E35" s="12">
        <v>14</v>
      </c>
      <c r="F35" s="8">
        <v>3.24</v>
      </c>
      <c r="G35" s="12">
        <v>4</v>
      </c>
      <c r="H35" s="8">
        <v>1.29</v>
      </c>
      <c r="I35" s="12">
        <v>1</v>
      </c>
    </row>
    <row r="36" spans="2:9" ht="15" customHeight="1" x14ac:dyDescent="0.2">
      <c r="B36" t="s">
        <v>80</v>
      </c>
      <c r="C36" s="12">
        <v>18</v>
      </c>
      <c r="D36" s="8">
        <v>2.39</v>
      </c>
      <c r="E36" s="12">
        <v>9</v>
      </c>
      <c r="F36" s="8">
        <v>2.08</v>
      </c>
      <c r="G36" s="12">
        <v>9</v>
      </c>
      <c r="H36" s="8">
        <v>2.9</v>
      </c>
      <c r="I36" s="12">
        <v>0</v>
      </c>
    </row>
    <row r="37" spans="2:9" ht="15" customHeight="1" x14ac:dyDescent="0.2">
      <c r="B37" t="s">
        <v>93</v>
      </c>
      <c r="C37" s="12">
        <v>18</v>
      </c>
      <c r="D37" s="8">
        <v>2.39</v>
      </c>
      <c r="E37" s="12">
        <v>12</v>
      </c>
      <c r="F37" s="8">
        <v>2.78</v>
      </c>
      <c r="G37" s="12">
        <v>6</v>
      </c>
      <c r="H37" s="8">
        <v>1.94</v>
      </c>
      <c r="I37" s="12">
        <v>0</v>
      </c>
    </row>
    <row r="38" spans="2:9" ht="15" customHeight="1" x14ac:dyDescent="0.2">
      <c r="B38" t="s">
        <v>77</v>
      </c>
      <c r="C38" s="12">
        <v>17</v>
      </c>
      <c r="D38" s="8">
        <v>2.25</v>
      </c>
      <c r="E38" s="12">
        <v>7</v>
      </c>
      <c r="F38" s="8">
        <v>1.62</v>
      </c>
      <c r="G38" s="12">
        <v>10</v>
      </c>
      <c r="H38" s="8">
        <v>3.23</v>
      </c>
      <c r="I38" s="12">
        <v>0</v>
      </c>
    </row>
    <row r="39" spans="2:9" ht="15" customHeight="1" x14ac:dyDescent="0.2">
      <c r="B39" t="s">
        <v>78</v>
      </c>
      <c r="C39" s="12">
        <v>14</v>
      </c>
      <c r="D39" s="8">
        <v>1.86</v>
      </c>
      <c r="E39" s="12">
        <v>3</v>
      </c>
      <c r="F39" s="8">
        <v>0.69</v>
      </c>
      <c r="G39" s="12">
        <v>11</v>
      </c>
      <c r="H39" s="8">
        <v>3.55</v>
      </c>
      <c r="I39" s="12">
        <v>0</v>
      </c>
    </row>
    <row r="40" spans="2:9" ht="15" customHeight="1" x14ac:dyDescent="0.2">
      <c r="B40" t="s">
        <v>85</v>
      </c>
      <c r="C40" s="12">
        <v>11</v>
      </c>
      <c r="D40" s="8">
        <v>1.46</v>
      </c>
      <c r="E40" s="12">
        <v>6</v>
      </c>
      <c r="F40" s="8">
        <v>1.39</v>
      </c>
      <c r="G40" s="12">
        <v>5</v>
      </c>
      <c r="H40" s="8">
        <v>1.61</v>
      </c>
      <c r="I40" s="12">
        <v>0</v>
      </c>
    </row>
    <row r="41" spans="2:9" ht="15" customHeight="1" x14ac:dyDescent="0.2">
      <c r="B41" t="s">
        <v>99</v>
      </c>
      <c r="C41" s="12">
        <v>10</v>
      </c>
      <c r="D41" s="8">
        <v>1.33</v>
      </c>
      <c r="E41" s="12">
        <v>3</v>
      </c>
      <c r="F41" s="8">
        <v>0.69</v>
      </c>
      <c r="G41" s="12">
        <v>7</v>
      </c>
      <c r="H41" s="8">
        <v>2.2599999999999998</v>
      </c>
      <c r="I41" s="12">
        <v>0</v>
      </c>
    </row>
    <row r="42" spans="2:9" ht="15" customHeight="1" x14ac:dyDescent="0.2">
      <c r="B42" t="s">
        <v>101</v>
      </c>
      <c r="C42" s="12">
        <v>10</v>
      </c>
      <c r="D42" s="8">
        <v>1.33</v>
      </c>
      <c r="E42" s="12">
        <v>4</v>
      </c>
      <c r="F42" s="8">
        <v>0.93</v>
      </c>
      <c r="G42" s="12">
        <v>5</v>
      </c>
      <c r="H42" s="8">
        <v>1.61</v>
      </c>
      <c r="I42" s="12">
        <v>0</v>
      </c>
    </row>
    <row r="43" spans="2:9" ht="15" customHeight="1" x14ac:dyDescent="0.2">
      <c r="B43" t="s">
        <v>97</v>
      </c>
      <c r="C43" s="12">
        <v>10</v>
      </c>
      <c r="D43" s="8">
        <v>1.33</v>
      </c>
      <c r="E43" s="12">
        <v>6</v>
      </c>
      <c r="F43" s="8">
        <v>1.39</v>
      </c>
      <c r="G43" s="12">
        <v>3</v>
      </c>
      <c r="H43" s="8">
        <v>0.97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36</v>
      </c>
      <c r="D47" s="8">
        <v>4.7699999999999996</v>
      </c>
      <c r="E47" s="12">
        <v>33</v>
      </c>
      <c r="F47" s="8">
        <v>7.64</v>
      </c>
      <c r="G47" s="12">
        <v>3</v>
      </c>
      <c r="H47" s="8">
        <v>0.97</v>
      </c>
      <c r="I47" s="12">
        <v>0</v>
      </c>
    </row>
    <row r="48" spans="2:9" ht="15" customHeight="1" x14ac:dyDescent="0.2">
      <c r="B48" t="s">
        <v>147</v>
      </c>
      <c r="C48" s="12">
        <v>34</v>
      </c>
      <c r="D48" s="8">
        <v>4.51</v>
      </c>
      <c r="E48" s="12">
        <v>26</v>
      </c>
      <c r="F48" s="8">
        <v>6.02</v>
      </c>
      <c r="G48" s="12">
        <v>8</v>
      </c>
      <c r="H48" s="8">
        <v>2.58</v>
      </c>
      <c r="I48" s="12">
        <v>0</v>
      </c>
    </row>
    <row r="49" spans="2:9" ht="15" customHeight="1" x14ac:dyDescent="0.2">
      <c r="B49" t="s">
        <v>135</v>
      </c>
      <c r="C49" s="12">
        <v>31</v>
      </c>
      <c r="D49" s="8">
        <v>4.1100000000000003</v>
      </c>
      <c r="E49" s="12">
        <v>4</v>
      </c>
      <c r="F49" s="8">
        <v>0.93</v>
      </c>
      <c r="G49" s="12">
        <v>27</v>
      </c>
      <c r="H49" s="8">
        <v>8.7100000000000009</v>
      </c>
      <c r="I49" s="12">
        <v>0</v>
      </c>
    </row>
    <row r="50" spans="2:9" ht="15" customHeight="1" x14ac:dyDescent="0.2">
      <c r="B50" t="s">
        <v>150</v>
      </c>
      <c r="C50" s="12">
        <v>25</v>
      </c>
      <c r="D50" s="8">
        <v>3.32</v>
      </c>
      <c r="E50" s="12">
        <v>24</v>
      </c>
      <c r="F50" s="8">
        <v>5.56</v>
      </c>
      <c r="G50" s="12">
        <v>1</v>
      </c>
      <c r="H50" s="8">
        <v>0.32</v>
      </c>
      <c r="I50" s="12">
        <v>0</v>
      </c>
    </row>
    <row r="51" spans="2:9" ht="15" customHeight="1" x14ac:dyDescent="0.2">
      <c r="B51" t="s">
        <v>149</v>
      </c>
      <c r="C51" s="12">
        <v>23</v>
      </c>
      <c r="D51" s="8">
        <v>3.05</v>
      </c>
      <c r="E51" s="12">
        <v>23</v>
      </c>
      <c r="F51" s="8">
        <v>5.32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181</v>
      </c>
      <c r="C52" s="12">
        <v>22</v>
      </c>
      <c r="D52" s="8">
        <v>2.92</v>
      </c>
      <c r="E52" s="12">
        <v>13</v>
      </c>
      <c r="F52" s="8">
        <v>3.01</v>
      </c>
      <c r="G52" s="12">
        <v>9</v>
      </c>
      <c r="H52" s="8">
        <v>2.9</v>
      </c>
      <c r="I52" s="12">
        <v>0</v>
      </c>
    </row>
    <row r="53" spans="2:9" ht="15" customHeight="1" x14ac:dyDescent="0.2">
      <c r="B53" t="s">
        <v>153</v>
      </c>
      <c r="C53" s="12">
        <v>21</v>
      </c>
      <c r="D53" s="8">
        <v>2.79</v>
      </c>
      <c r="E53" s="12">
        <v>21</v>
      </c>
      <c r="F53" s="8">
        <v>4.8600000000000003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140</v>
      </c>
      <c r="C54" s="12">
        <v>20</v>
      </c>
      <c r="D54" s="8">
        <v>2.65</v>
      </c>
      <c r="E54" s="12">
        <v>14</v>
      </c>
      <c r="F54" s="8">
        <v>3.24</v>
      </c>
      <c r="G54" s="12">
        <v>6</v>
      </c>
      <c r="H54" s="8">
        <v>1.94</v>
      </c>
      <c r="I54" s="12">
        <v>0</v>
      </c>
    </row>
    <row r="55" spans="2:9" ht="15" customHeight="1" x14ac:dyDescent="0.2">
      <c r="B55" t="s">
        <v>143</v>
      </c>
      <c r="C55" s="12">
        <v>20</v>
      </c>
      <c r="D55" s="8">
        <v>2.65</v>
      </c>
      <c r="E55" s="12">
        <v>14</v>
      </c>
      <c r="F55" s="8">
        <v>3.24</v>
      </c>
      <c r="G55" s="12">
        <v>6</v>
      </c>
      <c r="H55" s="8">
        <v>1.94</v>
      </c>
      <c r="I55" s="12">
        <v>0</v>
      </c>
    </row>
    <row r="56" spans="2:9" ht="15" customHeight="1" x14ac:dyDescent="0.2">
      <c r="B56" t="s">
        <v>148</v>
      </c>
      <c r="C56" s="12">
        <v>19</v>
      </c>
      <c r="D56" s="8">
        <v>2.52</v>
      </c>
      <c r="E56" s="12">
        <v>17</v>
      </c>
      <c r="F56" s="8">
        <v>3.94</v>
      </c>
      <c r="G56" s="12">
        <v>2</v>
      </c>
      <c r="H56" s="8">
        <v>0.65</v>
      </c>
      <c r="I56" s="12">
        <v>0</v>
      </c>
    </row>
    <row r="57" spans="2:9" ht="15" customHeight="1" x14ac:dyDescent="0.2">
      <c r="B57" t="s">
        <v>154</v>
      </c>
      <c r="C57" s="12">
        <v>18</v>
      </c>
      <c r="D57" s="8">
        <v>2.39</v>
      </c>
      <c r="E57" s="12">
        <v>12</v>
      </c>
      <c r="F57" s="8">
        <v>2.78</v>
      </c>
      <c r="G57" s="12">
        <v>6</v>
      </c>
      <c r="H57" s="8">
        <v>1.94</v>
      </c>
      <c r="I57" s="12">
        <v>0</v>
      </c>
    </row>
    <row r="58" spans="2:9" ht="15" customHeight="1" x14ac:dyDescent="0.2">
      <c r="B58" t="s">
        <v>137</v>
      </c>
      <c r="C58" s="12">
        <v>14</v>
      </c>
      <c r="D58" s="8">
        <v>1.86</v>
      </c>
      <c r="E58" s="12">
        <v>10</v>
      </c>
      <c r="F58" s="8">
        <v>2.31</v>
      </c>
      <c r="G58" s="12">
        <v>4</v>
      </c>
      <c r="H58" s="8">
        <v>1.29</v>
      </c>
      <c r="I58" s="12">
        <v>0</v>
      </c>
    </row>
    <row r="59" spans="2:9" ht="15" customHeight="1" x14ac:dyDescent="0.2">
      <c r="B59" t="s">
        <v>136</v>
      </c>
      <c r="C59" s="12">
        <v>13</v>
      </c>
      <c r="D59" s="8">
        <v>1.72</v>
      </c>
      <c r="E59" s="12">
        <v>1</v>
      </c>
      <c r="F59" s="8">
        <v>0.23</v>
      </c>
      <c r="G59" s="12">
        <v>12</v>
      </c>
      <c r="H59" s="8">
        <v>3.87</v>
      </c>
      <c r="I59" s="12">
        <v>0</v>
      </c>
    </row>
    <row r="60" spans="2:9" ht="15" customHeight="1" x14ac:dyDescent="0.2">
      <c r="B60" t="s">
        <v>166</v>
      </c>
      <c r="C60" s="12">
        <v>13</v>
      </c>
      <c r="D60" s="8">
        <v>1.72</v>
      </c>
      <c r="E60" s="12">
        <v>10</v>
      </c>
      <c r="F60" s="8">
        <v>2.31</v>
      </c>
      <c r="G60" s="12">
        <v>3</v>
      </c>
      <c r="H60" s="8">
        <v>0.97</v>
      </c>
      <c r="I60" s="12">
        <v>0</v>
      </c>
    </row>
    <row r="61" spans="2:9" ht="15" customHeight="1" x14ac:dyDescent="0.2">
      <c r="B61" t="s">
        <v>141</v>
      </c>
      <c r="C61" s="12">
        <v>13</v>
      </c>
      <c r="D61" s="8">
        <v>1.72</v>
      </c>
      <c r="E61" s="12">
        <v>9</v>
      </c>
      <c r="F61" s="8">
        <v>2.08</v>
      </c>
      <c r="G61" s="12">
        <v>4</v>
      </c>
      <c r="H61" s="8">
        <v>1.29</v>
      </c>
      <c r="I61" s="12">
        <v>0</v>
      </c>
    </row>
    <row r="62" spans="2:9" ht="15" customHeight="1" x14ac:dyDescent="0.2">
      <c r="B62" t="s">
        <v>170</v>
      </c>
      <c r="C62" s="12">
        <v>13</v>
      </c>
      <c r="D62" s="8">
        <v>1.72</v>
      </c>
      <c r="E62" s="12">
        <v>9</v>
      </c>
      <c r="F62" s="8">
        <v>2.08</v>
      </c>
      <c r="G62" s="12">
        <v>4</v>
      </c>
      <c r="H62" s="8">
        <v>1.29</v>
      </c>
      <c r="I62" s="12">
        <v>0</v>
      </c>
    </row>
    <row r="63" spans="2:9" ht="15" customHeight="1" x14ac:dyDescent="0.2">
      <c r="B63" t="s">
        <v>139</v>
      </c>
      <c r="C63" s="12">
        <v>12</v>
      </c>
      <c r="D63" s="8">
        <v>1.59</v>
      </c>
      <c r="E63" s="12">
        <v>7</v>
      </c>
      <c r="F63" s="8">
        <v>1.62</v>
      </c>
      <c r="G63" s="12">
        <v>5</v>
      </c>
      <c r="H63" s="8">
        <v>1.61</v>
      </c>
      <c r="I63" s="12">
        <v>0</v>
      </c>
    </row>
    <row r="64" spans="2:9" ht="15" customHeight="1" x14ac:dyDescent="0.2">
      <c r="B64" t="s">
        <v>142</v>
      </c>
      <c r="C64" s="12">
        <v>12</v>
      </c>
      <c r="D64" s="8">
        <v>1.59</v>
      </c>
      <c r="E64" s="12">
        <v>0</v>
      </c>
      <c r="F64" s="8">
        <v>0</v>
      </c>
      <c r="G64" s="12">
        <v>12</v>
      </c>
      <c r="H64" s="8">
        <v>3.87</v>
      </c>
      <c r="I64" s="12">
        <v>0</v>
      </c>
    </row>
    <row r="65" spans="2:9" ht="15" customHeight="1" x14ac:dyDescent="0.2">
      <c r="B65" t="s">
        <v>146</v>
      </c>
      <c r="C65" s="12">
        <v>12</v>
      </c>
      <c r="D65" s="8">
        <v>1.59</v>
      </c>
      <c r="E65" s="12">
        <v>2</v>
      </c>
      <c r="F65" s="8">
        <v>0.46</v>
      </c>
      <c r="G65" s="12">
        <v>10</v>
      </c>
      <c r="H65" s="8">
        <v>3.23</v>
      </c>
      <c r="I65" s="12">
        <v>0</v>
      </c>
    </row>
    <row r="66" spans="2:9" ht="15" customHeight="1" x14ac:dyDescent="0.2">
      <c r="B66" t="s">
        <v>152</v>
      </c>
      <c r="C66" s="12">
        <v>12</v>
      </c>
      <c r="D66" s="8">
        <v>1.59</v>
      </c>
      <c r="E66" s="12">
        <v>9</v>
      </c>
      <c r="F66" s="8">
        <v>2.08</v>
      </c>
      <c r="G66" s="12">
        <v>2</v>
      </c>
      <c r="H66" s="8">
        <v>0.65</v>
      </c>
      <c r="I66" s="12">
        <v>1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70E9-3473-4F43-AE87-9C5E219F971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343</v>
      </c>
      <c r="D6" s="8">
        <v>12.25</v>
      </c>
      <c r="E6" s="12">
        <v>200</v>
      </c>
      <c r="F6" s="8">
        <v>10.57</v>
      </c>
      <c r="G6" s="12">
        <v>143</v>
      </c>
      <c r="H6" s="8">
        <v>17.55</v>
      </c>
      <c r="I6" s="12">
        <v>0</v>
      </c>
    </row>
    <row r="7" spans="2:9" ht="15" customHeight="1" x14ac:dyDescent="0.2">
      <c r="B7" t="s">
        <v>53</v>
      </c>
      <c r="C7" s="12">
        <v>200</v>
      </c>
      <c r="D7" s="8">
        <v>7.14</v>
      </c>
      <c r="E7" s="12">
        <v>129</v>
      </c>
      <c r="F7" s="8">
        <v>6.81</v>
      </c>
      <c r="G7" s="12">
        <v>69</v>
      </c>
      <c r="H7" s="8">
        <v>8.4700000000000006</v>
      </c>
      <c r="I7" s="12">
        <v>2</v>
      </c>
    </row>
    <row r="8" spans="2:9" ht="15" customHeight="1" x14ac:dyDescent="0.2">
      <c r="B8" t="s">
        <v>54</v>
      </c>
      <c r="C8" s="12">
        <v>5</v>
      </c>
      <c r="D8" s="8">
        <v>0.18</v>
      </c>
      <c r="E8" s="12">
        <v>0</v>
      </c>
      <c r="F8" s="8">
        <v>0</v>
      </c>
      <c r="G8" s="12">
        <v>5</v>
      </c>
      <c r="H8" s="8">
        <v>0.61</v>
      </c>
      <c r="I8" s="12">
        <v>0</v>
      </c>
    </row>
    <row r="9" spans="2:9" ht="15" customHeight="1" x14ac:dyDescent="0.2">
      <c r="B9" t="s">
        <v>55</v>
      </c>
      <c r="C9" s="12">
        <v>11</v>
      </c>
      <c r="D9" s="8">
        <v>0.39</v>
      </c>
      <c r="E9" s="12">
        <v>3</v>
      </c>
      <c r="F9" s="8">
        <v>0.16</v>
      </c>
      <c r="G9" s="12">
        <v>8</v>
      </c>
      <c r="H9" s="8">
        <v>0.98</v>
      </c>
      <c r="I9" s="12">
        <v>0</v>
      </c>
    </row>
    <row r="10" spans="2:9" ht="15" customHeight="1" x14ac:dyDescent="0.2">
      <c r="B10" t="s">
        <v>56</v>
      </c>
      <c r="C10" s="12">
        <v>45</v>
      </c>
      <c r="D10" s="8">
        <v>1.61</v>
      </c>
      <c r="E10" s="12">
        <v>24</v>
      </c>
      <c r="F10" s="8">
        <v>1.27</v>
      </c>
      <c r="G10" s="12">
        <v>19</v>
      </c>
      <c r="H10" s="8">
        <v>2.33</v>
      </c>
      <c r="I10" s="12">
        <v>2</v>
      </c>
    </row>
    <row r="11" spans="2:9" ht="15" customHeight="1" x14ac:dyDescent="0.2">
      <c r="B11" t="s">
        <v>57</v>
      </c>
      <c r="C11" s="12">
        <v>859</v>
      </c>
      <c r="D11" s="8">
        <v>30.68</v>
      </c>
      <c r="E11" s="12">
        <v>555</v>
      </c>
      <c r="F11" s="8">
        <v>29.32</v>
      </c>
      <c r="G11" s="12">
        <v>300</v>
      </c>
      <c r="H11" s="8">
        <v>36.81</v>
      </c>
      <c r="I11" s="12">
        <v>4</v>
      </c>
    </row>
    <row r="12" spans="2:9" ht="15" customHeight="1" x14ac:dyDescent="0.2">
      <c r="B12" t="s">
        <v>58</v>
      </c>
      <c r="C12" s="12">
        <v>20</v>
      </c>
      <c r="D12" s="8">
        <v>0.71</v>
      </c>
      <c r="E12" s="12">
        <v>5</v>
      </c>
      <c r="F12" s="8">
        <v>0.26</v>
      </c>
      <c r="G12" s="12">
        <v>15</v>
      </c>
      <c r="H12" s="8">
        <v>1.84</v>
      </c>
      <c r="I12" s="12">
        <v>0</v>
      </c>
    </row>
    <row r="13" spans="2:9" ht="15" customHeight="1" x14ac:dyDescent="0.2">
      <c r="B13" t="s">
        <v>59</v>
      </c>
      <c r="C13" s="12">
        <v>163</v>
      </c>
      <c r="D13" s="8">
        <v>5.82</v>
      </c>
      <c r="E13" s="12">
        <v>92</v>
      </c>
      <c r="F13" s="8">
        <v>4.8600000000000003</v>
      </c>
      <c r="G13" s="12">
        <v>71</v>
      </c>
      <c r="H13" s="8">
        <v>8.7100000000000009</v>
      </c>
      <c r="I13" s="12">
        <v>0</v>
      </c>
    </row>
    <row r="14" spans="2:9" ht="15" customHeight="1" x14ac:dyDescent="0.2">
      <c r="B14" t="s">
        <v>60</v>
      </c>
      <c r="C14" s="12">
        <v>99</v>
      </c>
      <c r="D14" s="8">
        <v>3.54</v>
      </c>
      <c r="E14" s="12">
        <v>62</v>
      </c>
      <c r="F14" s="8">
        <v>3.28</v>
      </c>
      <c r="G14" s="12">
        <v>36</v>
      </c>
      <c r="H14" s="8">
        <v>4.42</v>
      </c>
      <c r="I14" s="12">
        <v>0</v>
      </c>
    </row>
    <row r="15" spans="2:9" ht="15" customHeight="1" x14ac:dyDescent="0.2">
      <c r="B15" t="s">
        <v>61</v>
      </c>
      <c r="C15" s="12">
        <v>332</v>
      </c>
      <c r="D15" s="8">
        <v>11.86</v>
      </c>
      <c r="E15" s="12">
        <v>297</v>
      </c>
      <c r="F15" s="8">
        <v>15.69</v>
      </c>
      <c r="G15" s="12">
        <v>30</v>
      </c>
      <c r="H15" s="8">
        <v>3.68</v>
      </c>
      <c r="I15" s="12">
        <v>0</v>
      </c>
    </row>
    <row r="16" spans="2:9" ht="15" customHeight="1" x14ac:dyDescent="0.2">
      <c r="B16" t="s">
        <v>62</v>
      </c>
      <c r="C16" s="12">
        <v>376</v>
      </c>
      <c r="D16" s="8">
        <v>13.43</v>
      </c>
      <c r="E16" s="12">
        <v>340</v>
      </c>
      <c r="F16" s="8">
        <v>17.96</v>
      </c>
      <c r="G16" s="12">
        <v>33</v>
      </c>
      <c r="H16" s="8">
        <v>4.05</v>
      </c>
      <c r="I16" s="12">
        <v>0</v>
      </c>
    </row>
    <row r="17" spans="2:9" ht="15" customHeight="1" x14ac:dyDescent="0.2">
      <c r="B17" t="s">
        <v>63</v>
      </c>
      <c r="C17" s="12">
        <v>72</v>
      </c>
      <c r="D17" s="8">
        <v>2.57</v>
      </c>
      <c r="E17" s="12">
        <v>53</v>
      </c>
      <c r="F17" s="8">
        <v>2.8</v>
      </c>
      <c r="G17" s="12">
        <v>5</v>
      </c>
      <c r="H17" s="8">
        <v>0.61</v>
      </c>
      <c r="I17" s="12">
        <v>0</v>
      </c>
    </row>
    <row r="18" spans="2:9" ht="15" customHeight="1" x14ac:dyDescent="0.2">
      <c r="B18" t="s">
        <v>64</v>
      </c>
      <c r="C18" s="12">
        <v>127</v>
      </c>
      <c r="D18" s="8">
        <v>4.54</v>
      </c>
      <c r="E18" s="12">
        <v>75</v>
      </c>
      <c r="F18" s="8">
        <v>3.96</v>
      </c>
      <c r="G18" s="12">
        <v>50</v>
      </c>
      <c r="H18" s="8">
        <v>6.13</v>
      </c>
      <c r="I18" s="12">
        <v>0</v>
      </c>
    </row>
    <row r="19" spans="2:9" ht="15" customHeight="1" x14ac:dyDescent="0.2">
      <c r="B19" t="s">
        <v>65</v>
      </c>
      <c r="C19" s="12">
        <v>148</v>
      </c>
      <c r="D19" s="8">
        <v>5.29</v>
      </c>
      <c r="E19" s="12">
        <v>58</v>
      </c>
      <c r="F19" s="8">
        <v>3.06</v>
      </c>
      <c r="G19" s="12">
        <v>31</v>
      </c>
      <c r="H19" s="8">
        <v>3.8</v>
      </c>
      <c r="I19" s="12">
        <v>56</v>
      </c>
    </row>
    <row r="20" spans="2:9" ht="15" customHeight="1" x14ac:dyDescent="0.2">
      <c r="B20" s="9" t="s">
        <v>281</v>
      </c>
      <c r="C20" s="12">
        <f>SUM(LTBL_43215[総数／事業所数])</f>
        <v>2800</v>
      </c>
      <c r="E20" s="12">
        <f>SUBTOTAL(109,LTBL_43215[個人／事業所数])</f>
        <v>1893</v>
      </c>
      <c r="G20" s="12">
        <f>SUBTOTAL(109,LTBL_43215[法人／事業所数])</f>
        <v>815</v>
      </c>
      <c r="I20" s="12">
        <f>SUBTOTAL(109,LTBL_43215[法人以外の団体／事業所数])</f>
        <v>64</v>
      </c>
    </row>
    <row r="21" spans="2:9" ht="15" customHeight="1" x14ac:dyDescent="0.2">
      <c r="E21" s="11">
        <f>LTBL_43215[[#Totals],[個人／事業所数]]/LTBL_43215[[#Totals],[総数／事業所数]]</f>
        <v>0.67607142857142855</v>
      </c>
      <c r="G21" s="11">
        <f>LTBL_43215[[#Totals],[法人／事業所数]]/LTBL_43215[[#Totals],[総数／事業所数]]</f>
        <v>0.29107142857142859</v>
      </c>
      <c r="I21" s="11">
        <f>LTBL_43215[[#Totals],[法人以外の団体／事業所数]]/LTBL_43215[[#Totals],[総数／事業所数]]</f>
        <v>2.2857142857142857E-2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316</v>
      </c>
      <c r="D24" s="8">
        <v>11.29</v>
      </c>
      <c r="E24" s="12">
        <v>298</v>
      </c>
      <c r="F24" s="8">
        <v>15.74</v>
      </c>
      <c r="G24" s="12">
        <v>18</v>
      </c>
      <c r="H24" s="8">
        <v>2.21</v>
      </c>
      <c r="I24" s="12">
        <v>0</v>
      </c>
    </row>
    <row r="25" spans="2:9" ht="15" customHeight="1" x14ac:dyDescent="0.2">
      <c r="B25" t="s">
        <v>81</v>
      </c>
      <c r="C25" s="12">
        <v>271</v>
      </c>
      <c r="D25" s="8">
        <v>9.68</v>
      </c>
      <c r="E25" s="12">
        <v>221</v>
      </c>
      <c r="F25" s="8">
        <v>11.67</v>
      </c>
      <c r="G25" s="12">
        <v>46</v>
      </c>
      <c r="H25" s="8">
        <v>5.64</v>
      </c>
      <c r="I25" s="12">
        <v>4</v>
      </c>
    </row>
    <row r="26" spans="2:9" ht="15" customHeight="1" x14ac:dyDescent="0.2">
      <c r="B26" t="s">
        <v>88</v>
      </c>
      <c r="C26" s="12">
        <v>263</v>
      </c>
      <c r="D26" s="8">
        <v>9.39</v>
      </c>
      <c r="E26" s="12">
        <v>245</v>
      </c>
      <c r="F26" s="8">
        <v>12.94</v>
      </c>
      <c r="G26" s="12">
        <v>18</v>
      </c>
      <c r="H26" s="8">
        <v>2.21</v>
      </c>
      <c r="I26" s="12">
        <v>0</v>
      </c>
    </row>
    <row r="27" spans="2:9" ht="15" customHeight="1" x14ac:dyDescent="0.2">
      <c r="B27" t="s">
        <v>83</v>
      </c>
      <c r="C27" s="12">
        <v>251</v>
      </c>
      <c r="D27" s="8">
        <v>8.9600000000000009</v>
      </c>
      <c r="E27" s="12">
        <v>156</v>
      </c>
      <c r="F27" s="8">
        <v>8.24</v>
      </c>
      <c r="G27" s="12">
        <v>95</v>
      </c>
      <c r="H27" s="8">
        <v>11.66</v>
      </c>
      <c r="I27" s="12">
        <v>0</v>
      </c>
    </row>
    <row r="28" spans="2:9" ht="15" customHeight="1" x14ac:dyDescent="0.2">
      <c r="B28" t="s">
        <v>74</v>
      </c>
      <c r="C28" s="12">
        <v>172</v>
      </c>
      <c r="D28" s="8">
        <v>6.14</v>
      </c>
      <c r="E28" s="12">
        <v>81</v>
      </c>
      <c r="F28" s="8">
        <v>4.28</v>
      </c>
      <c r="G28" s="12">
        <v>91</v>
      </c>
      <c r="H28" s="8">
        <v>11.17</v>
      </c>
      <c r="I28" s="12">
        <v>0</v>
      </c>
    </row>
    <row r="29" spans="2:9" ht="15" customHeight="1" x14ac:dyDescent="0.2">
      <c r="B29" t="s">
        <v>85</v>
      </c>
      <c r="C29" s="12">
        <v>123</v>
      </c>
      <c r="D29" s="8">
        <v>4.3899999999999997</v>
      </c>
      <c r="E29" s="12">
        <v>82</v>
      </c>
      <c r="F29" s="8">
        <v>4.33</v>
      </c>
      <c r="G29" s="12">
        <v>41</v>
      </c>
      <c r="H29" s="8">
        <v>5.03</v>
      </c>
      <c r="I29" s="12">
        <v>0</v>
      </c>
    </row>
    <row r="30" spans="2:9" ht="15" customHeight="1" x14ac:dyDescent="0.2">
      <c r="B30" t="s">
        <v>82</v>
      </c>
      <c r="C30" s="12">
        <v>115</v>
      </c>
      <c r="D30" s="8">
        <v>4.1100000000000003</v>
      </c>
      <c r="E30" s="12">
        <v>95</v>
      </c>
      <c r="F30" s="8">
        <v>5.0199999999999996</v>
      </c>
      <c r="G30" s="12">
        <v>20</v>
      </c>
      <c r="H30" s="8">
        <v>2.4500000000000002</v>
      </c>
      <c r="I30" s="12">
        <v>0</v>
      </c>
    </row>
    <row r="31" spans="2:9" ht="15" customHeight="1" x14ac:dyDescent="0.2">
      <c r="B31" t="s">
        <v>75</v>
      </c>
      <c r="C31" s="12">
        <v>98</v>
      </c>
      <c r="D31" s="8">
        <v>3.5</v>
      </c>
      <c r="E31" s="12">
        <v>68</v>
      </c>
      <c r="F31" s="8">
        <v>3.59</v>
      </c>
      <c r="G31" s="12">
        <v>30</v>
      </c>
      <c r="H31" s="8">
        <v>3.68</v>
      </c>
      <c r="I31" s="12">
        <v>0</v>
      </c>
    </row>
    <row r="32" spans="2:9" ht="15" customHeight="1" x14ac:dyDescent="0.2">
      <c r="B32" t="s">
        <v>91</v>
      </c>
      <c r="C32" s="12">
        <v>80</v>
      </c>
      <c r="D32" s="8">
        <v>2.86</v>
      </c>
      <c r="E32" s="12">
        <v>75</v>
      </c>
      <c r="F32" s="8">
        <v>3.96</v>
      </c>
      <c r="G32" s="12">
        <v>5</v>
      </c>
      <c r="H32" s="8">
        <v>0.61</v>
      </c>
      <c r="I32" s="12">
        <v>0</v>
      </c>
    </row>
    <row r="33" spans="2:9" ht="15" customHeight="1" x14ac:dyDescent="0.2">
      <c r="B33" t="s">
        <v>76</v>
      </c>
      <c r="C33" s="12">
        <v>73</v>
      </c>
      <c r="D33" s="8">
        <v>2.61</v>
      </c>
      <c r="E33" s="12">
        <v>51</v>
      </c>
      <c r="F33" s="8">
        <v>2.69</v>
      </c>
      <c r="G33" s="12">
        <v>22</v>
      </c>
      <c r="H33" s="8">
        <v>2.7</v>
      </c>
      <c r="I33" s="12">
        <v>0</v>
      </c>
    </row>
    <row r="34" spans="2:9" ht="15" customHeight="1" x14ac:dyDescent="0.2">
      <c r="B34" t="s">
        <v>90</v>
      </c>
      <c r="C34" s="12">
        <v>72</v>
      </c>
      <c r="D34" s="8">
        <v>2.57</v>
      </c>
      <c r="E34" s="12">
        <v>53</v>
      </c>
      <c r="F34" s="8">
        <v>2.8</v>
      </c>
      <c r="G34" s="12">
        <v>5</v>
      </c>
      <c r="H34" s="8">
        <v>0.61</v>
      </c>
      <c r="I34" s="12">
        <v>0</v>
      </c>
    </row>
    <row r="35" spans="2:9" ht="15" customHeight="1" x14ac:dyDescent="0.2">
      <c r="B35" t="s">
        <v>77</v>
      </c>
      <c r="C35" s="12">
        <v>69</v>
      </c>
      <c r="D35" s="8">
        <v>2.46</v>
      </c>
      <c r="E35" s="12">
        <v>42</v>
      </c>
      <c r="F35" s="8">
        <v>2.2200000000000002</v>
      </c>
      <c r="G35" s="12">
        <v>25</v>
      </c>
      <c r="H35" s="8">
        <v>3.07</v>
      </c>
      <c r="I35" s="12">
        <v>2</v>
      </c>
    </row>
    <row r="36" spans="2:9" ht="15" customHeight="1" x14ac:dyDescent="0.2">
      <c r="B36" t="s">
        <v>80</v>
      </c>
      <c r="C36" s="12">
        <v>59</v>
      </c>
      <c r="D36" s="8">
        <v>2.11</v>
      </c>
      <c r="E36" s="12">
        <v>33</v>
      </c>
      <c r="F36" s="8">
        <v>1.74</v>
      </c>
      <c r="G36" s="12">
        <v>26</v>
      </c>
      <c r="H36" s="8">
        <v>3.19</v>
      </c>
      <c r="I36" s="12">
        <v>0</v>
      </c>
    </row>
    <row r="37" spans="2:9" ht="15" customHeight="1" x14ac:dyDescent="0.2">
      <c r="B37" t="s">
        <v>107</v>
      </c>
      <c r="C37" s="12">
        <v>55</v>
      </c>
      <c r="D37" s="8">
        <v>1.96</v>
      </c>
      <c r="E37" s="12">
        <v>0</v>
      </c>
      <c r="F37" s="8">
        <v>0</v>
      </c>
      <c r="G37" s="12">
        <v>1</v>
      </c>
      <c r="H37" s="8">
        <v>0.12</v>
      </c>
      <c r="I37" s="12">
        <v>52</v>
      </c>
    </row>
    <row r="38" spans="2:9" ht="15" customHeight="1" x14ac:dyDescent="0.2">
      <c r="B38" t="s">
        <v>106</v>
      </c>
      <c r="C38" s="12">
        <v>50</v>
      </c>
      <c r="D38" s="8">
        <v>1.79</v>
      </c>
      <c r="E38" s="12">
        <v>41</v>
      </c>
      <c r="F38" s="8">
        <v>2.17</v>
      </c>
      <c r="G38" s="12">
        <v>9</v>
      </c>
      <c r="H38" s="8">
        <v>1.1000000000000001</v>
      </c>
      <c r="I38" s="12">
        <v>0</v>
      </c>
    </row>
    <row r="39" spans="2:9" ht="15" customHeight="1" x14ac:dyDescent="0.2">
      <c r="B39" t="s">
        <v>87</v>
      </c>
      <c r="C39" s="12">
        <v>49</v>
      </c>
      <c r="D39" s="8">
        <v>1.75</v>
      </c>
      <c r="E39" s="12">
        <v>24</v>
      </c>
      <c r="F39" s="8">
        <v>1.27</v>
      </c>
      <c r="G39" s="12">
        <v>25</v>
      </c>
      <c r="H39" s="8">
        <v>3.07</v>
      </c>
      <c r="I39" s="12">
        <v>0</v>
      </c>
    </row>
    <row r="40" spans="2:9" ht="15" customHeight="1" x14ac:dyDescent="0.2">
      <c r="B40" t="s">
        <v>86</v>
      </c>
      <c r="C40" s="12">
        <v>48</v>
      </c>
      <c r="D40" s="8">
        <v>1.71</v>
      </c>
      <c r="E40" s="12">
        <v>38</v>
      </c>
      <c r="F40" s="8">
        <v>2.0099999999999998</v>
      </c>
      <c r="G40" s="12">
        <v>10</v>
      </c>
      <c r="H40" s="8">
        <v>1.23</v>
      </c>
      <c r="I40" s="12">
        <v>0</v>
      </c>
    </row>
    <row r="41" spans="2:9" ht="15" customHeight="1" x14ac:dyDescent="0.2">
      <c r="B41" t="s">
        <v>92</v>
      </c>
      <c r="C41" s="12">
        <v>47</v>
      </c>
      <c r="D41" s="8">
        <v>1.68</v>
      </c>
      <c r="E41" s="12">
        <v>0</v>
      </c>
      <c r="F41" s="8">
        <v>0</v>
      </c>
      <c r="G41" s="12">
        <v>45</v>
      </c>
      <c r="H41" s="8">
        <v>5.52</v>
      </c>
      <c r="I41" s="12">
        <v>0</v>
      </c>
    </row>
    <row r="42" spans="2:9" ht="15" customHeight="1" x14ac:dyDescent="0.2">
      <c r="B42" t="s">
        <v>99</v>
      </c>
      <c r="C42" s="12">
        <v>46</v>
      </c>
      <c r="D42" s="8">
        <v>1.64</v>
      </c>
      <c r="E42" s="12">
        <v>18</v>
      </c>
      <c r="F42" s="8">
        <v>0.95</v>
      </c>
      <c r="G42" s="12">
        <v>28</v>
      </c>
      <c r="H42" s="8">
        <v>3.44</v>
      </c>
      <c r="I42" s="12">
        <v>0</v>
      </c>
    </row>
    <row r="43" spans="2:9" ht="15" customHeight="1" x14ac:dyDescent="0.2">
      <c r="B43" t="s">
        <v>93</v>
      </c>
      <c r="C43" s="12">
        <v>46</v>
      </c>
      <c r="D43" s="8">
        <v>1.64</v>
      </c>
      <c r="E43" s="12">
        <v>41</v>
      </c>
      <c r="F43" s="8">
        <v>2.17</v>
      </c>
      <c r="G43" s="12">
        <v>5</v>
      </c>
      <c r="H43" s="8">
        <v>0.61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168</v>
      </c>
      <c r="D47" s="8">
        <v>6</v>
      </c>
      <c r="E47" s="12">
        <v>162</v>
      </c>
      <c r="F47" s="8">
        <v>8.56</v>
      </c>
      <c r="G47" s="12">
        <v>6</v>
      </c>
      <c r="H47" s="8">
        <v>0.74</v>
      </c>
      <c r="I47" s="12">
        <v>0</v>
      </c>
    </row>
    <row r="48" spans="2:9" ht="15" customHeight="1" x14ac:dyDescent="0.2">
      <c r="B48" t="s">
        <v>150</v>
      </c>
      <c r="C48" s="12">
        <v>99</v>
      </c>
      <c r="D48" s="8">
        <v>3.54</v>
      </c>
      <c r="E48" s="12">
        <v>98</v>
      </c>
      <c r="F48" s="8">
        <v>5.18</v>
      </c>
      <c r="G48" s="12">
        <v>1</v>
      </c>
      <c r="H48" s="8">
        <v>0.12</v>
      </c>
      <c r="I48" s="12">
        <v>0</v>
      </c>
    </row>
    <row r="49" spans="2:9" ht="15" customHeight="1" x14ac:dyDescent="0.2">
      <c r="B49" t="s">
        <v>140</v>
      </c>
      <c r="C49" s="12">
        <v>98</v>
      </c>
      <c r="D49" s="8">
        <v>3.5</v>
      </c>
      <c r="E49" s="12">
        <v>76</v>
      </c>
      <c r="F49" s="8">
        <v>4.01</v>
      </c>
      <c r="G49" s="12">
        <v>22</v>
      </c>
      <c r="H49" s="8">
        <v>2.7</v>
      </c>
      <c r="I49" s="12">
        <v>0</v>
      </c>
    </row>
    <row r="50" spans="2:9" ht="15" customHeight="1" x14ac:dyDescent="0.2">
      <c r="B50" t="s">
        <v>143</v>
      </c>
      <c r="C50" s="12">
        <v>88</v>
      </c>
      <c r="D50" s="8">
        <v>3.14</v>
      </c>
      <c r="E50" s="12">
        <v>73</v>
      </c>
      <c r="F50" s="8">
        <v>3.86</v>
      </c>
      <c r="G50" s="12">
        <v>15</v>
      </c>
      <c r="H50" s="8">
        <v>1.84</v>
      </c>
      <c r="I50" s="12">
        <v>0</v>
      </c>
    </row>
    <row r="51" spans="2:9" ht="15" customHeight="1" x14ac:dyDescent="0.2">
      <c r="B51" t="s">
        <v>145</v>
      </c>
      <c r="C51" s="12">
        <v>79</v>
      </c>
      <c r="D51" s="8">
        <v>2.82</v>
      </c>
      <c r="E51" s="12">
        <v>55</v>
      </c>
      <c r="F51" s="8">
        <v>2.91</v>
      </c>
      <c r="G51" s="12">
        <v>24</v>
      </c>
      <c r="H51" s="8">
        <v>2.94</v>
      </c>
      <c r="I51" s="12">
        <v>0</v>
      </c>
    </row>
    <row r="52" spans="2:9" ht="15" customHeight="1" x14ac:dyDescent="0.2">
      <c r="B52" t="s">
        <v>147</v>
      </c>
      <c r="C52" s="12">
        <v>69</v>
      </c>
      <c r="D52" s="8">
        <v>2.46</v>
      </c>
      <c r="E52" s="12">
        <v>59</v>
      </c>
      <c r="F52" s="8">
        <v>3.12</v>
      </c>
      <c r="G52" s="12">
        <v>10</v>
      </c>
      <c r="H52" s="8">
        <v>1.23</v>
      </c>
      <c r="I52" s="12">
        <v>0</v>
      </c>
    </row>
    <row r="53" spans="2:9" ht="15" customHeight="1" x14ac:dyDescent="0.2">
      <c r="B53" t="s">
        <v>135</v>
      </c>
      <c r="C53" s="12">
        <v>65</v>
      </c>
      <c r="D53" s="8">
        <v>2.3199999999999998</v>
      </c>
      <c r="E53" s="12">
        <v>16</v>
      </c>
      <c r="F53" s="8">
        <v>0.85</v>
      </c>
      <c r="G53" s="12">
        <v>49</v>
      </c>
      <c r="H53" s="8">
        <v>6.01</v>
      </c>
      <c r="I53" s="12">
        <v>0</v>
      </c>
    </row>
    <row r="54" spans="2:9" ht="15" customHeight="1" x14ac:dyDescent="0.2">
      <c r="B54" t="s">
        <v>141</v>
      </c>
      <c r="C54" s="12">
        <v>60</v>
      </c>
      <c r="D54" s="8">
        <v>2.14</v>
      </c>
      <c r="E54" s="12">
        <v>50</v>
      </c>
      <c r="F54" s="8">
        <v>2.64</v>
      </c>
      <c r="G54" s="12">
        <v>10</v>
      </c>
      <c r="H54" s="8">
        <v>1.23</v>
      </c>
      <c r="I54" s="12">
        <v>0</v>
      </c>
    </row>
    <row r="55" spans="2:9" ht="15" customHeight="1" x14ac:dyDescent="0.2">
      <c r="B55" t="s">
        <v>153</v>
      </c>
      <c r="C55" s="12">
        <v>56</v>
      </c>
      <c r="D55" s="8">
        <v>2</v>
      </c>
      <c r="E55" s="12">
        <v>53</v>
      </c>
      <c r="F55" s="8">
        <v>2.8</v>
      </c>
      <c r="G55" s="12">
        <v>3</v>
      </c>
      <c r="H55" s="8">
        <v>0.37</v>
      </c>
      <c r="I55" s="12">
        <v>0</v>
      </c>
    </row>
    <row r="56" spans="2:9" ht="15" customHeight="1" x14ac:dyDescent="0.2">
      <c r="B56" t="s">
        <v>149</v>
      </c>
      <c r="C56" s="12">
        <v>54</v>
      </c>
      <c r="D56" s="8">
        <v>1.93</v>
      </c>
      <c r="E56" s="12">
        <v>51</v>
      </c>
      <c r="F56" s="8">
        <v>2.69</v>
      </c>
      <c r="G56" s="12">
        <v>3</v>
      </c>
      <c r="H56" s="8">
        <v>0.37</v>
      </c>
      <c r="I56" s="12">
        <v>0</v>
      </c>
    </row>
    <row r="57" spans="2:9" ht="15" customHeight="1" x14ac:dyDescent="0.2">
      <c r="B57" t="s">
        <v>182</v>
      </c>
      <c r="C57" s="12">
        <v>54</v>
      </c>
      <c r="D57" s="8">
        <v>1.93</v>
      </c>
      <c r="E57" s="12">
        <v>0</v>
      </c>
      <c r="F57" s="8">
        <v>0</v>
      </c>
      <c r="G57" s="12">
        <v>1</v>
      </c>
      <c r="H57" s="8">
        <v>0.12</v>
      </c>
      <c r="I57" s="12">
        <v>52</v>
      </c>
    </row>
    <row r="58" spans="2:9" ht="15" customHeight="1" x14ac:dyDescent="0.2">
      <c r="B58" t="s">
        <v>168</v>
      </c>
      <c r="C58" s="12">
        <v>52</v>
      </c>
      <c r="D58" s="8">
        <v>1.86</v>
      </c>
      <c r="E58" s="12">
        <v>20</v>
      </c>
      <c r="F58" s="8">
        <v>1.06</v>
      </c>
      <c r="G58" s="12">
        <v>32</v>
      </c>
      <c r="H58" s="8">
        <v>3.93</v>
      </c>
      <c r="I58" s="12">
        <v>0</v>
      </c>
    </row>
    <row r="59" spans="2:9" ht="15" customHeight="1" x14ac:dyDescent="0.2">
      <c r="B59" t="s">
        <v>181</v>
      </c>
      <c r="C59" s="12">
        <v>48</v>
      </c>
      <c r="D59" s="8">
        <v>1.71</v>
      </c>
      <c r="E59" s="12">
        <v>39</v>
      </c>
      <c r="F59" s="8">
        <v>2.06</v>
      </c>
      <c r="G59" s="12">
        <v>9</v>
      </c>
      <c r="H59" s="8">
        <v>1.1000000000000001</v>
      </c>
      <c r="I59" s="12">
        <v>0</v>
      </c>
    </row>
    <row r="60" spans="2:9" ht="15" customHeight="1" x14ac:dyDescent="0.2">
      <c r="B60" t="s">
        <v>166</v>
      </c>
      <c r="C60" s="12">
        <v>47</v>
      </c>
      <c r="D60" s="8">
        <v>1.68</v>
      </c>
      <c r="E60" s="12">
        <v>36</v>
      </c>
      <c r="F60" s="8">
        <v>1.9</v>
      </c>
      <c r="G60" s="12">
        <v>10</v>
      </c>
      <c r="H60" s="8">
        <v>1.23</v>
      </c>
      <c r="I60" s="12">
        <v>1</v>
      </c>
    </row>
    <row r="61" spans="2:9" ht="15" customHeight="1" x14ac:dyDescent="0.2">
      <c r="B61" t="s">
        <v>167</v>
      </c>
      <c r="C61" s="12">
        <v>46</v>
      </c>
      <c r="D61" s="8">
        <v>1.64</v>
      </c>
      <c r="E61" s="12">
        <v>36</v>
      </c>
      <c r="F61" s="8">
        <v>1.9</v>
      </c>
      <c r="G61" s="12">
        <v>10</v>
      </c>
      <c r="H61" s="8">
        <v>1.23</v>
      </c>
      <c r="I61" s="12">
        <v>0</v>
      </c>
    </row>
    <row r="62" spans="2:9" ht="15" customHeight="1" x14ac:dyDescent="0.2">
      <c r="B62" t="s">
        <v>154</v>
      </c>
      <c r="C62" s="12">
        <v>46</v>
      </c>
      <c r="D62" s="8">
        <v>1.64</v>
      </c>
      <c r="E62" s="12">
        <v>41</v>
      </c>
      <c r="F62" s="8">
        <v>2.17</v>
      </c>
      <c r="G62" s="12">
        <v>5</v>
      </c>
      <c r="H62" s="8">
        <v>0.61</v>
      </c>
      <c r="I62" s="12">
        <v>0</v>
      </c>
    </row>
    <row r="63" spans="2:9" ht="15" customHeight="1" x14ac:dyDescent="0.2">
      <c r="B63" t="s">
        <v>138</v>
      </c>
      <c r="C63" s="12">
        <v>45</v>
      </c>
      <c r="D63" s="8">
        <v>1.61</v>
      </c>
      <c r="E63" s="12">
        <v>30</v>
      </c>
      <c r="F63" s="8">
        <v>1.58</v>
      </c>
      <c r="G63" s="12">
        <v>15</v>
      </c>
      <c r="H63" s="8">
        <v>1.84</v>
      </c>
      <c r="I63" s="12">
        <v>0</v>
      </c>
    </row>
    <row r="64" spans="2:9" ht="15" customHeight="1" x14ac:dyDescent="0.2">
      <c r="B64" t="s">
        <v>148</v>
      </c>
      <c r="C64" s="12">
        <v>45</v>
      </c>
      <c r="D64" s="8">
        <v>1.61</v>
      </c>
      <c r="E64" s="12">
        <v>44</v>
      </c>
      <c r="F64" s="8">
        <v>2.3199999999999998</v>
      </c>
      <c r="G64" s="12">
        <v>1</v>
      </c>
      <c r="H64" s="8">
        <v>0.12</v>
      </c>
      <c r="I64" s="12">
        <v>0</v>
      </c>
    </row>
    <row r="65" spans="2:9" ht="15" customHeight="1" x14ac:dyDescent="0.2">
      <c r="B65" t="s">
        <v>136</v>
      </c>
      <c r="C65" s="12">
        <v>42</v>
      </c>
      <c r="D65" s="8">
        <v>1.5</v>
      </c>
      <c r="E65" s="12">
        <v>23</v>
      </c>
      <c r="F65" s="8">
        <v>1.22</v>
      </c>
      <c r="G65" s="12">
        <v>19</v>
      </c>
      <c r="H65" s="8">
        <v>2.33</v>
      </c>
      <c r="I65" s="12">
        <v>0</v>
      </c>
    </row>
    <row r="66" spans="2:9" ht="15" customHeight="1" x14ac:dyDescent="0.2">
      <c r="B66" t="s">
        <v>179</v>
      </c>
      <c r="C66" s="12">
        <v>42</v>
      </c>
      <c r="D66" s="8">
        <v>1.5</v>
      </c>
      <c r="E66" s="12">
        <v>39</v>
      </c>
      <c r="F66" s="8">
        <v>2.06</v>
      </c>
      <c r="G66" s="12">
        <v>2</v>
      </c>
      <c r="H66" s="8">
        <v>0.25</v>
      </c>
      <c r="I66" s="12">
        <v>1</v>
      </c>
    </row>
    <row r="67" spans="2:9" ht="15" customHeight="1" x14ac:dyDescent="0.2">
      <c r="B67" t="s">
        <v>170</v>
      </c>
      <c r="C67" s="12">
        <v>42</v>
      </c>
      <c r="D67" s="8">
        <v>1.5</v>
      </c>
      <c r="E67" s="12">
        <v>39</v>
      </c>
      <c r="F67" s="8">
        <v>2.06</v>
      </c>
      <c r="G67" s="12">
        <v>3</v>
      </c>
      <c r="H67" s="8">
        <v>0.37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C40B-5903-471A-8A59-0A408491C8D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157</v>
      </c>
      <c r="D6" s="8">
        <v>17.760000000000002</v>
      </c>
      <c r="E6" s="12">
        <v>30</v>
      </c>
      <c r="F6" s="8">
        <v>7.41</v>
      </c>
      <c r="G6" s="12">
        <v>127</v>
      </c>
      <c r="H6" s="8">
        <v>27.14</v>
      </c>
      <c r="I6" s="12">
        <v>0</v>
      </c>
    </row>
    <row r="7" spans="2:9" ht="15" customHeight="1" x14ac:dyDescent="0.2">
      <c r="B7" t="s">
        <v>53</v>
      </c>
      <c r="C7" s="12">
        <v>45</v>
      </c>
      <c r="D7" s="8">
        <v>5.09</v>
      </c>
      <c r="E7" s="12">
        <v>11</v>
      </c>
      <c r="F7" s="8">
        <v>2.72</v>
      </c>
      <c r="G7" s="12">
        <v>34</v>
      </c>
      <c r="H7" s="8">
        <v>7.26</v>
      </c>
      <c r="I7" s="12">
        <v>0</v>
      </c>
    </row>
    <row r="8" spans="2:9" ht="15" customHeight="1" x14ac:dyDescent="0.2">
      <c r="B8" t="s">
        <v>54</v>
      </c>
      <c r="C8" s="12">
        <v>5</v>
      </c>
      <c r="D8" s="8">
        <v>0.56999999999999995</v>
      </c>
      <c r="E8" s="12">
        <v>0</v>
      </c>
      <c r="F8" s="8">
        <v>0</v>
      </c>
      <c r="G8" s="12">
        <v>5</v>
      </c>
      <c r="H8" s="8">
        <v>1.07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1.02</v>
      </c>
      <c r="E9" s="12">
        <v>3</v>
      </c>
      <c r="F9" s="8">
        <v>0.74</v>
      </c>
      <c r="G9" s="12">
        <v>6</v>
      </c>
      <c r="H9" s="8">
        <v>1.28</v>
      </c>
      <c r="I9" s="12">
        <v>0</v>
      </c>
    </row>
    <row r="10" spans="2:9" ht="15" customHeight="1" x14ac:dyDescent="0.2">
      <c r="B10" t="s">
        <v>56</v>
      </c>
      <c r="C10" s="12">
        <v>9</v>
      </c>
      <c r="D10" s="8">
        <v>1.02</v>
      </c>
      <c r="E10" s="12">
        <v>6</v>
      </c>
      <c r="F10" s="8">
        <v>1.48</v>
      </c>
      <c r="G10" s="12">
        <v>3</v>
      </c>
      <c r="H10" s="8">
        <v>0.64</v>
      </c>
      <c r="I10" s="12">
        <v>0</v>
      </c>
    </row>
    <row r="11" spans="2:9" ht="15" customHeight="1" x14ac:dyDescent="0.2">
      <c r="B11" t="s">
        <v>57</v>
      </c>
      <c r="C11" s="12">
        <v>208</v>
      </c>
      <c r="D11" s="8">
        <v>23.53</v>
      </c>
      <c r="E11" s="12">
        <v>83</v>
      </c>
      <c r="F11" s="8">
        <v>20.49</v>
      </c>
      <c r="G11" s="12">
        <v>125</v>
      </c>
      <c r="H11" s="8">
        <v>26.71</v>
      </c>
      <c r="I11" s="12">
        <v>0</v>
      </c>
    </row>
    <row r="12" spans="2:9" ht="15" customHeight="1" x14ac:dyDescent="0.2">
      <c r="B12" t="s">
        <v>58</v>
      </c>
      <c r="C12" s="12">
        <v>9</v>
      </c>
      <c r="D12" s="8">
        <v>1.02</v>
      </c>
      <c r="E12" s="12">
        <v>0</v>
      </c>
      <c r="F12" s="8">
        <v>0</v>
      </c>
      <c r="G12" s="12">
        <v>9</v>
      </c>
      <c r="H12" s="8">
        <v>1.92</v>
      </c>
      <c r="I12" s="12">
        <v>0</v>
      </c>
    </row>
    <row r="13" spans="2:9" ht="15" customHeight="1" x14ac:dyDescent="0.2">
      <c r="B13" t="s">
        <v>59</v>
      </c>
      <c r="C13" s="12">
        <v>52</v>
      </c>
      <c r="D13" s="8">
        <v>5.88</v>
      </c>
      <c r="E13" s="12">
        <v>4</v>
      </c>
      <c r="F13" s="8">
        <v>0.99</v>
      </c>
      <c r="G13" s="12">
        <v>48</v>
      </c>
      <c r="H13" s="8">
        <v>10.26</v>
      </c>
      <c r="I13" s="12">
        <v>0</v>
      </c>
    </row>
    <row r="14" spans="2:9" ht="15" customHeight="1" x14ac:dyDescent="0.2">
      <c r="B14" t="s">
        <v>60</v>
      </c>
      <c r="C14" s="12">
        <v>39</v>
      </c>
      <c r="D14" s="8">
        <v>4.41</v>
      </c>
      <c r="E14" s="12">
        <v>17</v>
      </c>
      <c r="F14" s="8">
        <v>4.2</v>
      </c>
      <c r="G14" s="12">
        <v>22</v>
      </c>
      <c r="H14" s="8">
        <v>4.7</v>
      </c>
      <c r="I14" s="12">
        <v>0</v>
      </c>
    </row>
    <row r="15" spans="2:9" ht="15" customHeight="1" x14ac:dyDescent="0.2">
      <c r="B15" t="s">
        <v>61</v>
      </c>
      <c r="C15" s="12">
        <v>70</v>
      </c>
      <c r="D15" s="8">
        <v>7.92</v>
      </c>
      <c r="E15" s="12">
        <v>58</v>
      </c>
      <c r="F15" s="8">
        <v>14.32</v>
      </c>
      <c r="G15" s="12">
        <v>12</v>
      </c>
      <c r="H15" s="8">
        <v>2.56</v>
      </c>
      <c r="I15" s="12">
        <v>0</v>
      </c>
    </row>
    <row r="16" spans="2:9" ht="15" customHeight="1" x14ac:dyDescent="0.2">
      <c r="B16" t="s">
        <v>62</v>
      </c>
      <c r="C16" s="12">
        <v>125</v>
      </c>
      <c r="D16" s="8">
        <v>14.14</v>
      </c>
      <c r="E16" s="12">
        <v>102</v>
      </c>
      <c r="F16" s="8">
        <v>25.19</v>
      </c>
      <c r="G16" s="12">
        <v>23</v>
      </c>
      <c r="H16" s="8">
        <v>4.91</v>
      </c>
      <c r="I16" s="12">
        <v>0</v>
      </c>
    </row>
    <row r="17" spans="2:9" ht="15" customHeight="1" x14ac:dyDescent="0.2">
      <c r="B17" t="s">
        <v>63</v>
      </c>
      <c r="C17" s="12">
        <v>54</v>
      </c>
      <c r="D17" s="8">
        <v>6.11</v>
      </c>
      <c r="E17" s="12">
        <v>37</v>
      </c>
      <c r="F17" s="8">
        <v>9.14</v>
      </c>
      <c r="G17" s="12">
        <v>13</v>
      </c>
      <c r="H17" s="8">
        <v>2.78</v>
      </c>
      <c r="I17" s="12">
        <v>0</v>
      </c>
    </row>
    <row r="18" spans="2:9" ht="15" customHeight="1" x14ac:dyDescent="0.2">
      <c r="B18" t="s">
        <v>64</v>
      </c>
      <c r="C18" s="12">
        <v>60</v>
      </c>
      <c r="D18" s="8">
        <v>6.79</v>
      </c>
      <c r="E18" s="12">
        <v>34</v>
      </c>
      <c r="F18" s="8">
        <v>8.4</v>
      </c>
      <c r="G18" s="12">
        <v>23</v>
      </c>
      <c r="H18" s="8">
        <v>4.91</v>
      </c>
      <c r="I18" s="12">
        <v>0</v>
      </c>
    </row>
    <row r="19" spans="2:9" ht="15" customHeight="1" x14ac:dyDescent="0.2">
      <c r="B19" t="s">
        <v>65</v>
      </c>
      <c r="C19" s="12">
        <v>42</v>
      </c>
      <c r="D19" s="8">
        <v>4.75</v>
      </c>
      <c r="E19" s="12">
        <v>20</v>
      </c>
      <c r="F19" s="8">
        <v>4.9400000000000004</v>
      </c>
      <c r="G19" s="12">
        <v>18</v>
      </c>
      <c r="H19" s="8">
        <v>3.85</v>
      </c>
      <c r="I19" s="12">
        <v>0</v>
      </c>
    </row>
    <row r="20" spans="2:9" ht="15" customHeight="1" x14ac:dyDescent="0.2">
      <c r="B20" s="9" t="s">
        <v>281</v>
      </c>
      <c r="C20" s="12">
        <f>SUM(LTBL_43216[総数／事業所数])</f>
        <v>884</v>
      </c>
      <c r="E20" s="12">
        <f>SUBTOTAL(109,LTBL_43216[個人／事業所数])</f>
        <v>405</v>
      </c>
      <c r="G20" s="12">
        <f>SUBTOTAL(109,LTBL_43216[法人／事業所数])</f>
        <v>468</v>
      </c>
      <c r="I20" s="12">
        <f>SUBTOTAL(109,LTBL_43216[法人以外の団体／事業所数])</f>
        <v>0</v>
      </c>
    </row>
    <row r="21" spans="2:9" ht="15" customHeight="1" x14ac:dyDescent="0.2">
      <c r="E21" s="11">
        <f>LTBL_43216[[#Totals],[個人／事業所数]]/LTBL_43216[[#Totals],[総数／事業所数]]</f>
        <v>0.45814479638009048</v>
      </c>
      <c r="G21" s="11">
        <f>LTBL_43216[[#Totals],[法人／事業所数]]/LTBL_43216[[#Totals],[総数／事業所数]]</f>
        <v>0.52941176470588236</v>
      </c>
      <c r="I21" s="11">
        <f>LTBL_43216[[#Totals],[法人以外の団体／事業所数]]/LTBL_43216[[#Totals],[総数／事業所数]]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110</v>
      </c>
      <c r="D24" s="8">
        <v>12.44</v>
      </c>
      <c r="E24" s="12">
        <v>98</v>
      </c>
      <c r="F24" s="8">
        <v>24.2</v>
      </c>
      <c r="G24" s="12">
        <v>12</v>
      </c>
      <c r="H24" s="8">
        <v>2.56</v>
      </c>
      <c r="I24" s="12">
        <v>0</v>
      </c>
    </row>
    <row r="25" spans="2:9" ht="15" customHeight="1" x14ac:dyDescent="0.2">
      <c r="B25" t="s">
        <v>74</v>
      </c>
      <c r="C25" s="12">
        <v>59</v>
      </c>
      <c r="D25" s="8">
        <v>6.67</v>
      </c>
      <c r="E25" s="12">
        <v>11</v>
      </c>
      <c r="F25" s="8">
        <v>2.72</v>
      </c>
      <c r="G25" s="12">
        <v>48</v>
      </c>
      <c r="H25" s="8">
        <v>10.26</v>
      </c>
      <c r="I25" s="12">
        <v>0</v>
      </c>
    </row>
    <row r="26" spans="2:9" ht="15" customHeight="1" x14ac:dyDescent="0.2">
      <c r="B26" t="s">
        <v>88</v>
      </c>
      <c r="C26" s="12">
        <v>59</v>
      </c>
      <c r="D26" s="8">
        <v>6.67</v>
      </c>
      <c r="E26" s="12">
        <v>53</v>
      </c>
      <c r="F26" s="8">
        <v>13.09</v>
      </c>
      <c r="G26" s="12">
        <v>6</v>
      </c>
      <c r="H26" s="8">
        <v>1.28</v>
      </c>
      <c r="I26" s="12">
        <v>0</v>
      </c>
    </row>
    <row r="27" spans="2:9" ht="15" customHeight="1" x14ac:dyDescent="0.2">
      <c r="B27" t="s">
        <v>83</v>
      </c>
      <c r="C27" s="12">
        <v>54</v>
      </c>
      <c r="D27" s="8">
        <v>6.11</v>
      </c>
      <c r="E27" s="12">
        <v>21</v>
      </c>
      <c r="F27" s="8">
        <v>5.19</v>
      </c>
      <c r="G27" s="12">
        <v>33</v>
      </c>
      <c r="H27" s="8">
        <v>7.05</v>
      </c>
      <c r="I27" s="12">
        <v>0</v>
      </c>
    </row>
    <row r="28" spans="2:9" ht="15" customHeight="1" x14ac:dyDescent="0.2">
      <c r="B28" t="s">
        <v>90</v>
      </c>
      <c r="C28" s="12">
        <v>54</v>
      </c>
      <c r="D28" s="8">
        <v>6.11</v>
      </c>
      <c r="E28" s="12">
        <v>37</v>
      </c>
      <c r="F28" s="8">
        <v>9.14</v>
      </c>
      <c r="G28" s="12">
        <v>13</v>
      </c>
      <c r="H28" s="8">
        <v>2.78</v>
      </c>
      <c r="I28" s="12">
        <v>0</v>
      </c>
    </row>
    <row r="29" spans="2:9" ht="15" customHeight="1" x14ac:dyDescent="0.2">
      <c r="B29" t="s">
        <v>75</v>
      </c>
      <c r="C29" s="12">
        <v>51</v>
      </c>
      <c r="D29" s="8">
        <v>5.77</v>
      </c>
      <c r="E29" s="12">
        <v>8</v>
      </c>
      <c r="F29" s="8">
        <v>1.98</v>
      </c>
      <c r="G29" s="12">
        <v>43</v>
      </c>
      <c r="H29" s="8">
        <v>9.19</v>
      </c>
      <c r="I29" s="12">
        <v>0</v>
      </c>
    </row>
    <row r="30" spans="2:9" ht="15" customHeight="1" x14ac:dyDescent="0.2">
      <c r="B30" t="s">
        <v>81</v>
      </c>
      <c r="C30" s="12">
        <v>51</v>
      </c>
      <c r="D30" s="8">
        <v>5.77</v>
      </c>
      <c r="E30" s="12">
        <v>31</v>
      </c>
      <c r="F30" s="8">
        <v>7.65</v>
      </c>
      <c r="G30" s="12">
        <v>20</v>
      </c>
      <c r="H30" s="8">
        <v>4.2699999999999996</v>
      </c>
      <c r="I30" s="12">
        <v>0</v>
      </c>
    </row>
    <row r="31" spans="2:9" ht="15" customHeight="1" x14ac:dyDescent="0.2">
      <c r="B31" t="s">
        <v>76</v>
      </c>
      <c r="C31" s="12">
        <v>47</v>
      </c>
      <c r="D31" s="8">
        <v>5.32</v>
      </c>
      <c r="E31" s="12">
        <v>11</v>
      </c>
      <c r="F31" s="8">
        <v>2.72</v>
      </c>
      <c r="G31" s="12">
        <v>36</v>
      </c>
      <c r="H31" s="8">
        <v>7.69</v>
      </c>
      <c r="I31" s="12">
        <v>0</v>
      </c>
    </row>
    <row r="32" spans="2:9" ht="15" customHeight="1" x14ac:dyDescent="0.2">
      <c r="B32" t="s">
        <v>91</v>
      </c>
      <c r="C32" s="12">
        <v>38</v>
      </c>
      <c r="D32" s="8">
        <v>4.3</v>
      </c>
      <c r="E32" s="12">
        <v>34</v>
      </c>
      <c r="F32" s="8">
        <v>8.4</v>
      </c>
      <c r="G32" s="12">
        <v>4</v>
      </c>
      <c r="H32" s="8">
        <v>0.85</v>
      </c>
      <c r="I32" s="12">
        <v>0</v>
      </c>
    </row>
    <row r="33" spans="2:9" ht="15" customHeight="1" x14ac:dyDescent="0.2">
      <c r="B33" t="s">
        <v>85</v>
      </c>
      <c r="C33" s="12">
        <v>33</v>
      </c>
      <c r="D33" s="8">
        <v>3.73</v>
      </c>
      <c r="E33" s="12">
        <v>2</v>
      </c>
      <c r="F33" s="8">
        <v>0.49</v>
      </c>
      <c r="G33" s="12">
        <v>31</v>
      </c>
      <c r="H33" s="8">
        <v>6.62</v>
      </c>
      <c r="I33" s="12">
        <v>0</v>
      </c>
    </row>
    <row r="34" spans="2:9" ht="15" customHeight="1" x14ac:dyDescent="0.2">
      <c r="B34" t="s">
        <v>82</v>
      </c>
      <c r="C34" s="12">
        <v>25</v>
      </c>
      <c r="D34" s="8">
        <v>2.83</v>
      </c>
      <c r="E34" s="12">
        <v>13</v>
      </c>
      <c r="F34" s="8">
        <v>3.21</v>
      </c>
      <c r="G34" s="12">
        <v>12</v>
      </c>
      <c r="H34" s="8">
        <v>2.56</v>
      </c>
      <c r="I34" s="12">
        <v>0</v>
      </c>
    </row>
    <row r="35" spans="2:9" ht="15" customHeight="1" x14ac:dyDescent="0.2">
      <c r="B35" t="s">
        <v>92</v>
      </c>
      <c r="C35" s="12">
        <v>22</v>
      </c>
      <c r="D35" s="8">
        <v>2.4900000000000002</v>
      </c>
      <c r="E35" s="12">
        <v>0</v>
      </c>
      <c r="F35" s="8">
        <v>0</v>
      </c>
      <c r="G35" s="12">
        <v>19</v>
      </c>
      <c r="H35" s="8">
        <v>4.0599999999999996</v>
      </c>
      <c r="I35" s="12">
        <v>0</v>
      </c>
    </row>
    <row r="36" spans="2:9" ht="15" customHeight="1" x14ac:dyDescent="0.2">
      <c r="B36" t="s">
        <v>86</v>
      </c>
      <c r="C36" s="12">
        <v>20</v>
      </c>
      <c r="D36" s="8">
        <v>2.2599999999999998</v>
      </c>
      <c r="E36" s="12">
        <v>10</v>
      </c>
      <c r="F36" s="8">
        <v>2.4700000000000002</v>
      </c>
      <c r="G36" s="12">
        <v>10</v>
      </c>
      <c r="H36" s="8">
        <v>2.14</v>
      </c>
      <c r="I36" s="12">
        <v>0</v>
      </c>
    </row>
    <row r="37" spans="2:9" ht="15" customHeight="1" x14ac:dyDescent="0.2">
      <c r="B37" t="s">
        <v>98</v>
      </c>
      <c r="C37" s="12">
        <v>16</v>
      </c>
      <c r="D37" s="8">
        <v>1.81</v>
      </c>
      <c r="E37" s="12">
        <v>2</v>
      </c>
      <c r="F37" s="8">
        <v>0.49</v>
      </c>
      <c r="G37" s="12">
        <v>14</v>
      </c>
      <c r="H37" s="8">
        <v>2.99</v>
      </c>
      <c r="I37" s="12">
        <v>0</v>
      </c>
    </row>
    <row r="38" spans="2:9" ht="15" customHeight="1" x14ac:dyDescent="0.2">
      <c r="B38" t="s">
        <v>87</v>
      </c>
      <c r="C38" s="12">
        <v>16</v>
      </c>
      <c r="D38" s="8">
        <v>1.81</v>
      </c>
      <c r="E38" s="12">
        <v>7</v>
      </c>
      <c r="F38" s="8">
        <v>1.73</v>
      </c>
      <c r="G38" s="12">
        <v>9</v>
      </c>
      <c r="H38" s="8">
        <v>1.92</v>
      </c>
      <c r="I38" s="12">
        <v>0</v>
      </c>
    </row>
    <row r="39" spans="2:9" ht="15" customHeight="1" x14ac:dyDescent="0.2">
      <c r="B39" t="s">
        <v>78</v>
      </c>
      <c r="C39" s="12">
        <v>15</v>
      </c>
      <c r="D39" s="8">
        <v>1.7</v>
      </c>
      <c r="E39" s="12">
        <v>4</v>
      </c>
      <c r="F39" s="8">
        <v>0.99</v>
      </c>
      <c r="G39" s="12">
        <v>11</v>
      </c>
      <c r="H39" s="8">
        <v>2.35</v>
      </c>
      <c r="I39" s="12">
        <v>0</v>
      </c>
    </row>
    <row r="40" spans="2:9" ht="15" customHeight="1" x14ac:dyDescent="0.2">
      <c r="B40" t="s">
        <v>84</v>
      </c>
      <c r="C40" s="12">
        <v>15</v>
      </c>
      <c r="D40" s="8">
        <v>1.7</v>
      </c>
      <c r="E40" s="12">
        <v>2</v>
      </c>
      <c r="F40" s="8">
        <v>0.49</v>
      </c>
      <c r="G40" s="12">
        <v>13</v>
      </c>
      <c r="H40" s="8">
        <v>2.78</v>
      </c>
      <c r="I40" s="12">
        <v>0</v>
      </c>
    </row>
    <row r="41" spans="2:9" ht="15" customHeight="1" x14ac:dyDescent="0.2">
      <c r="B41" t="s">
        <v>80</v>
      </c>
      <c r="C41" s="12">
        <v>13</v>
      </c>
      <c r="D41" s="8">
        <v>1.47</v>
      </c>
      <c r="E41" s="12">
        <v>8</v>
      </c>
      <c r="F41" s="8">
        <v>1.98</v>
      </c>
      <c r="G41" s="12">
        <v>5</v>
      </c>
      <c r="H41" s="8">
        <v>1.07</v>
      </c>
      <c r="I41" s="12">
        <v>0</v>
      </c>
    </row>
    <row r="42" spans="2:9" ht="15" customHeight="1" x14ac:dyDescent="0.2">
      <c r="B42" t="s">
        <v>93</v>
      </c>
      <c r="C42" s="12">
        <v>13</v>
      </c>
      <c r="D42" s="8">
        <v>1.47</v>
      </c>
      <c r="E42" s="12">
        <v>11</v>
      </c>
      <c r="F42" s="8">
        <v>2.72</v>
      </c>
      <c r="G42" s="12">
        <v>2</v>
      </c>
      <c r="H42" s="8">
        <v>0.43</v>
      </c>
      <c r="I42" s="12">
        <v>0</v>
      </c>
    </row>
    <row r="43" spans="2:9" ht="15" customHeight="1" x14ac:dyDescent="0.2">
      <c r="B43" t="s">
        <v>79</v>
      </c>
      <c r="C43" s="12">
        <v>12</v>
      </c>
      <c r="D43" s="8">
        <v>1.36</v>
      </c>
      <c r="E43" s="12">
        <v>2</v>
      </c>
      <c r="F43" s="8">
        <v>0.49</v>
      </c>
      <c r="G43" s="12">
        <v>10</v>
      </c>
      <c r="H43" s="8">
        <v>2.14</v>
      </c>
      <c r="I43" s="12">
        <v>0</v>
      </c>
    </row>
    <row r="44" spans="2:9" ht="15" customHeight="1" x14ac:dyDescent="0.2">
      <c r="B44" t="s">
        <v>95</v>
      </c>
      <c r="C44" s="12">
        <v>12</v>
      </c>
      <c r="D44" s="8">
        <v>1.36</v>
      </c>
      <c r="E44" s="12">
        <v>4</v>
      </c>
      <c r="F44" s="8">
        <v>0.99</v>
      </c>
      <c r="G44" s="12">
        <v>8</v>
      </c>
      <c r="H44" s="8">
        <v>1.71</v>
      </c>
      <c r="I44" s="12">
        <v>0</v>
      </c>
    </row>
    <row r="47" spans="2:9" ht="33" customHeight="1" x14ac:dyDescent="0.2">
      <c r="B47" t="s">
        <v>283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151</v>
      </c>
      <c r="C48" s="12">
        <v>57</v>
      </c>
      <c r="D48" s="8">
        <v>6.45</v>
      </c>
      <c r="E48" s="12">
        <v>51</v>
      </c>
      <c r="F48" s="8">
        <v>12.59</v>
      </c>
      <c r="G48" s="12">
        <v>6</v>
      </c>
      <c r="H48" s="8">
        <v>1.28</v>
      </c>
      <c r="I48" s="12">
        <v>0</v>
      </c>
    </row>
    <row r="49" spans="2:9" ht="15" customHeight="1" x14ac:dyDescent="0.2">
      <c r="B49" t="s">
        <v>150</v>
      </c>
      <c r="C49" s="12">
        <v>34</v>
      </c>
      <c r="D49" s="8">
        <v>3.85</v>
      </c>
      <c r="E49" s="12">
        <v>33</v>
      </c>
      <c r="F49" s="8">
        <v>8.15</v>
      </c>
      <c r="G49" s="12">
        <v>1</v>
      </c>
      <c r="H49" s="8">
        <v>0.21</v>
      </c>
      <c r="I49" s="12">
        <v>0</v>
      </c>
    </row>
    <row r="50" spans="2:9" ht="15" customHeight="1" x14ac:dyDescent="0.2">
      <c r="B50" t="s">
        <v>152</v>
      </c>
      <c r="C50" s="12">
        <v>31</v>
      </c>
      <c r="D50" s="8">
        <v>3.51</v>
      </c>
      <c r="E50" s="12">
        <v>25</v>
      </c>
      <c r="F50" s="8">
        <v>6.17</v>
      </c>
      <c r="G50" s="12">
        <v>6</v>
      </c>
      <c r="H50" s="8">
        <v>1.28</v>
      </c>
      <c r="I50" s="12">
        <v>0</v>
      </c>
    </row>
    <row r="51" spans="2:9" ht="15" customHeight="1" x14ac:dyDescent="0.2">
      <c r="B51" t="s">
        <v>153</v>
      </c>
      <c r="C51" s="12">
        <v>28</v>
      </c>
      <c r="D51" s="8">
        <v>3.17</v>
      </c>
      <c r="E51" s="12">
        <v>26</v>
      </c>
      <c r="F51" s="8">
        <v>6.42</v>
      </c>
      <c r="G51" s="12">
        <v>2</v>
      </c>
      <c r="H51" s="8">
        <v>0.43</v>
      </c>
      <c r="I51" s="12">
        <v>0</v>
      </c>
    </row>
    <row r="52" spans="2:9" ht="15" customHeight="1" x14ac:dyDescent="0.2">
      <c r="B52" t="s">
        <v>135</v>
      </c>
      <c r="C52" s="12">
        <v>27</v>
      </c>
      <c r="D52" s="8">
        <v>3.05</v>
      </c>
      <c r="E52" s="12">
        <v>1</v>
      </c>
      <c r="F52" s="8">
        <v>0.25</v>
      </c>
      <c r="G52" s="12">
        <v>26</v>
      </c>
      <c r="H52" s="8">
        <v>5.56</v>
      </c>
      <c r="I52" s="12">
        <v>0</v>
      </c>
    </row>
    <row r="53" spans="2:9" ht="15" customHeight="1" x14ac:dyDescent="0.2">
      <c r="B53" t="s">
        <v>141</v>
      </c>
      <c r="C53" s="12">
        <v>22</v>
      </c>
      <c r="D53" s="8">
        <v>2.4900000000000002</v>
      </c>
      <c r="E53" s="12">
        <v>11</v>
      </c>
      <c r="F53" s="8">
        <v>2.72</v>
      </c>
      <c r="G53" s="12">
        <v>11</v>
      </c>
      <c r="H53" s="8">
        <v>2.35</v>
      </c>
      <c r="I53" s="12">
        <v>0</v>
      </c>
    </row>
    <row r="54" spans="2:9" ht="15" customHeight="1" x14ac:dyDescent="0.2">
      <c r="B54" t="s">
        <v>145</v>
      </c>
      <c r="C54" s="12">
        <v>22</v>
      </c>
      <c r="D54" s="8">
        <v>2.4900000000000002</v>
      </c>
      <c r="E54" s="12">
        <v>1</v>
      </c>
      <c r="F54" s="8">
        <v>0.25</v>
      </c>
      <c r="G54" s="12">
        <v>21</v>
      </c>
      <c r="H54" s="8">
        <v>4.49</v>
      </c>
      <c r="I54" s="12">
        <v>0</v>
      </c>
    </row>
    <row r="55" spans="2:9" ht="15" customHeight="1" x14ac:dyDescent="0.2">
      <c r="B55" t="s">
        <v>148</v>
      </c>
      <c r="C55" s="12">
        <v>22</v>
      </c>
      <c r="D55" s="8">
        <v>2.4900000000000002</v>
      </c>
      <c r="E55" s="12">
        <v>20</v>
      </c>
      <c r="F55" s="8">
        <v>4.9400000000000004</v>
      </c>
      <c r="G55" s="12">
        <v>2</v>
      </c>
      <c r="H55" s="8">
        <v>0.43</v>
      </c>
      <c r="I55" s="12">
        <v>0</v>
      </c>
    </row>
    <row r="56" spans="2:9" ht="15" customHeight="1" x14ac:dyDescent="0.2">
      <c r="B56" t="s">
        <v>138</v>
      </c>
      <c r="C56" s="12">
        <v>21</v>
      </c>
      <c r="D56" s="8">
        <v>2.38</v>
      </c>
      <c r="E56" s="12">
        <v>6</v>
      </c>
      <c r="F56" s="8">
        <v>1.48</v>
      </c>
      <c r="G56" s="12">
        <v>15</v>
      </c>
      <c r="H56" s="8">
        <v>3.21</v>
      </c>
      <c r="I56" s="12">
        <v>0</v>
      </c>
    </row>
    <row r="57" spans="2:9" ht="15" customHeight="1" x14ac:dyDescent="0.2">
      <c r="B57" t="s">
        <v>142</v>
      </c>
      <c r="C57" s="12">
        <v>20</v>
      </c>
      <c r="D57" s="8">
        <v>2.2599999999999998</v>
      </c>
      <c r="E57" s="12">
        <v>5</v>
      </c>
      <c r="F57" s="8">
        <v>1.23</v>
      </c>
      <c r="G57" s="12">
        <v>15</v>
      </c>
      <c r="H57" s="8">
        <v>3.21</v>
      </c>
      <c r="I57" s="12">
        <v>0</v>
      </c>
    </row>
    <row r="58" spans="2:9" ht="15" customHeight="1" x14ac:dyDescent="0.2">
      <c r="B58" t="s">
        <v>163</v>
      </c>
      <c r="C58" s="12">
        <v>18</v>
      </c>
      <c r="D58" s="8">
        <v>2.04</v>
      </c>
      <c r="E58" s="12">
        <v>3</v>
      </c>
      <c r="F58" s="8">
        <v>0.74</v>
      </c>
      <c r="G58" s="12">
        <v>15</v>
      </c>
      <c r="H58" s="8">
        <v>3.21</v>
      </c>
      <c r="I58" s="12">
        <v>0</v>
      </c>
    </row>
    <row r="59" spans="2:9" ht="15" customHeight="1" x14ac:dyDescent="0.2">
      <c r="B59" t="s">
        <v>166</v>
      </c>
      <c r="C59" s="12">
        <v>17</v>
      </c>
      <c r="D59" s="8">
        <v>1.92</v>
      </c>
      <c r="E59" s="12">
        <v>11</v>
      </c>
      <c r="F59" s="8">
        <v>2.72</v>
      </c>
      <c r="G59" s="12">
        <v>6</v>
      </c>
      <c r="H59" s="8">
        <v>1.28</v>
      </c>
      <c r="I59" s="12">
        <v>0</v>
      </c>
    </row>
    <row r="60" spans="2:9" ht="15" customHeight="1" x14ac:dyDescent="0.2">
      <c r="B60" t="s">
        <v>140</v>
      </c>
      <c r="C60" s="12">
        <v>16</v>
      </c>
      <c r="D60" s="8">
        <v>1.81</v>
      </c>
      <c r="E60" s="12">
        <v>9</v>
      </c>
      <c r="F60" s="8">
        <v>2.2200000000000002</v>
      </c>
      <c r="G60" s="12">
        <v>7</v>
      </c>
      <c r="H60" s="8">
        <v>1.5</v>
      </c>
      <c r="I60" s="12">
        <v>0</v>
      </c>
    </row>
    <row r="61" spans="2:9" ht="15" customHeight="1" x14ac:dyDescent="0.2">
      <c r="B61" t="s">
        <v>162</v>
      </c>
      <c r="C61" s="12">
        <v>15</v>
      </c>
      <c r="D61" s="8">
        <v>1.7</v>
      </c>
      <c r="E61" s="12">
        <v>3</v>
      </c>
      <c r="F61" s="8">
        <v>0.74</v>
      </c>
      <c r="G61" s="12">
        <v>12</v>
      </c>
      <c r="H61" s="8">
        <v>2.56</v>
      </c>
      <c r="I61" s="12">
        <v>0</v>
      </c>
    </row>
    <row r="62" spans="2:9" ht="15" customHeight="1" x14ac:dyDescent="0.2">
      <c r="B62" t="s">
        <v>183</v>
      </c>
      <c r="C62" s="12">
        <v>15</v>
      </c>
      <c r="D62" s="8">
        <v>1.7</v>
      </c>
      <c r="E62" s="12">
        <v>2</v>
      </c>
      <c r="F62" s="8">
        <v>0.49</v>
      </c>
      <c r="G62" s="12">
        <v>13</v>
      </c>
      <c r="H62" s="8">
        <v>2.78</v>
      </c>
      <c r="I62" s="12">
        <v>0</v>
      </c>
    </row>
    <row r="63" spans="2:9" ht="15" customHeight="1" x14ac:dyDescent="0.2">
      <c r="B63" t="s">
        <v>172</v>
      </c>
      <c r="C63" s="12">
        <v>15</v>
      </c>
      <c r="D63" s="8">
        <v>1.7</v>
      </c>
      <c r="E63" s="12">
        <v>11</v>
      </c>
      <c r="F63" s="8">
        <v>2.72</v>
      </c>
      <c r="G63" s="12">
        <v>4</v>
      </c>
      <c r="H63" s="8">
        <v>0.85</v>
      </c>
      <c r="I63" s="12">
        <v>0</v>
      </c>
    </row>
    <row r="64" spans="2:9" ht="15" customHeight="1" x14ac:dyDescent="0.2">
      <c r="B64" t="s">
        <v>143</v>
      </c>
      <c r="C64" s="12">
        <v>13</v>
      </c>
      <c r="D64" s="8">
        <v>1.47</v>
      </c>
      <c r="E64" s="12">
        <v>8</v>
      </c>
      <c r="F64" s="8">
        <v>1.98</v>
      </c>
      <c r="G64" s="12">
        <v>5</v>
      </c>
      <c r="H64" s="8">
        <v>1.07</v>
      </c>
      <c r="I64" s="12">
        <v>0</v>
      </c>
    </row>
    <row r="65" spans="2:9" ht="15" customHeight="1" x14ac:dyDescent="0.2">
      <c r="B65" t="s">
        <v>147</v>
      </c>
      <c r="C65" s="12">
        <v>13</v>
      </c>
      <c r="D65" s="8">
        <v>1.47</v>
      </c>
      <c r="E65" s="12">
        <v>11</v>
      </c>
      <c r="F65" s="8">
        <v>2.72</v>
      </c>
      <c r="G65" s="12">
        <v>2</v>
      </c>
      <c r="H65" s="8">
        <v>0.43</v>
      </c>
      <c r="I65" s="12">
        <v>0</v>
      </c>
    </row>
    <row r="66" spans="2:9" ht="15" customHeight="1" x14ac:dyDescent="0.2">
      <c r="B66" t="s">
        <v>154</v>
      </c>
      <c r="C66" s="12">
        <v>13</v>
      </c>
      <c r="D66" s="8">
        <v>1.47</v>
      </c>
      <c r="E66" s="12">
        <v>11</v>
      </c>
      <c r="F66" s="8">
        <v>2.72</v>
      </c>
      <c r="G66" s="12">
        <v>2</v>
      </c>
      <c r="H66" s="8">
        <v>0.43</v>
      </c>
      <c r="I66" s="12">
        <v>0</v>
      </c>
    </row>
    <row r="67" spans="2:9" ht="15" customHeight="1" x14ac:dyDescent="0.2">
      <c r="B67" t="s">
        <v>137</v>
      </c>
      <c r="C67" s="12">
        <v>12</v>
      </c>
      <c r="D67" s="8">
        <v>1.36</v>
      </c>
      <c r="E67" s="12">
        <v>5</v>
      </c>
      <c r="F67" s="8">
        <v>1.23</v>
      </c>
      <c r="G67" s="12">
        <v>7</v>
      </c>
      <c r="H67" s="8">
        <v>1.5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61A7-DDDB-4F86-8A2C-854D2663990D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0.45</v>
      </c>
      <c r="E5" s="12">
        <v>1</v>
      </c>
      <c r="F5" s="8">
        <v>0.69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51</v>
      </c>
      <c r="D6" s="8">
        <v>22.77</v>
      </c>
      <c r="E6" s="12">
        <v>28</v>
      </c>
      <c r="F6" s="8">
        <v>19.309999999999999</v>
      </c>
      <c r="G6" s="12">
        <v>23</v>
      </c>
      <c r="H6" s="8">
        <v>30.26</v>
      </c>
      <c r="I6" s="12">
        <v>0</v>
      </c>
    </row>
    <row r="7" spans="2:9" ht="15" customHeight="1" x14ac:dyDescent="0.2">
      <c r="B7" t="s">
        <v>53</v>
      </c>
      <c r="C7" s="12">
        <v>24</v>
      </c>
      <c r="D7" s="8">
        <v>10.71</v>
      </c>
      <c r="E7" s="12">
        <v>12</v>
      </c>
      <c r="F7" s="8">
        <v>8.2799999999999994</v>
      </c>
      <c r="G7" s="12">
        <v>12</v>
      </c>
      <c r="H7" s="8">
        <v>15.79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1.79</v>
      </c>
      <c r="E8" s="12">
        <v>0</v>
      </c>
      <c r="F8" s="8">
        <v>0</v>
      </c>
      <c r="G8" s="12">
        <v>2</v>
      </c>
      <c r="H8" s="8">
        <v>2.63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1.79</v>
      </c>
      <c r="E10" s="12">
        <v>1</v>
      </c>
      <c r="F10" s="8">
        <v>0.69</v>
      </c>
      <c r="G10" s="12">
        <v>3</v>
      </c>
      <c r="H10" s="8">
        <v>3.95</v>
      </c>
      <c r="I10" s="12">
        <v>0</v>
      </c>
    </row>
    <row r="11" spans="2:9" ht="15" customHeight="1" x14ac:dyDescent="0.2">
      <c r="B11" t="s">
        <v>57</v>
      </c>
      <c r="C11" s="12">
        <v>57</v>
      </c>
      <c r="D11" s="8">
        <v>25.45</v>
      </c>
      <c r="E11" s="12">
        <v>35</v>
      </c>
      <c r="F11" s="8">
        <v>24.14</v>
      </c>
      <c r="G11" s="12">
        <v>21</v>
      </c>
      <c r="H11" s="8">
        <v>27.63</v>
      </c>
      <c r="I11" s="12">
        <v>1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2</v>
      </c>
      <c r="D13" s="8">
        <v>0.89</v>
      </c>
      <c r="E13" s="12">
        <v>2</v>
      </c>
      <c r="F13" s="8">
        <v>1.38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60</v>
      </c>
      <c r="C14" s="12">
        <v>8</v>
      </c>
      <c r="D14" s="8">
        <v>3.57</v>
      </c>
      <c r="E14" s="12">
        <v>5</v>
      </c>
      <c r="F14" s="8">
        <v>3.45</v>
      </c>
      <c r="G14" s="12">
        <v>3</v>
      </c>
      <c r="H14" s="8">
        <v>3.95</v>
      </c>
      <c r="I14" s="12">
        <v>0</v>
      </c>
    </row>
    <row r="15" spans="2:9" ht="15" customHeight="1" x14ac:dyDescent="0.2">
      <c r="B15" t="s">
        <v>61</v>
      </c>
      <c r="C15" s="12">
        <v>21</v>
      </c>
      <c r="D15" s="8">
        <v>9.3800000000000008</v>
      </c>
      <c r="E15" s="12">
        <v>16</v>
      </c>
      <c r="F15" s="8">
        <v>11.03</v>
      </c>
      <c r="G15" s="12">
        <v>5</v>
      </c>
      <c r="H15" s="8">
        <v>6.58</v>
      </c>
      <c r="I15" s="12">
        <v>0</v>
      </c>
    </row>
    <row r="16" spans="2:9" ht="15" customHeight="1" x14ac:dyDescent="0.2">
      <c r="B16" t="s">
        <v>62</v>
      </c>
      <c r="C16" s="12">
        <v>31</v>
      </c>
      <c r="D16" s="8">
        <v>13.84</v>
      </c>
      <c r="E16" s="12">
        <v>30</v>
      </c>
      <c r="F16" s="8">
        <v>20.69</v>
      </c>
      <c r="G16" s="12">
        <v>1</v>
      </c>
      <c r="H16" s="8">
        <v>1.32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1.79</v>
      </c>
      <c r="E17" s="12">
        <v>4</v>
      </c>
      <c r="F17" s="8">
        <v>2.76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8</v>
      </c>
      <c r="D18" s="8">
        <v>3.57</v>
      </c>
      <c r="E18" s="12">
        <v>5</v>
      </c>
      <c r="F18" s="8">
        <v>3.45</v>
      </c>
      <c r="G18" s="12">
        <v>3</v>
      </c>
      <c r="H18" s="8">
        <v>3.95</v>
      </c>
      <c r="I18" s="12">
        <v>0</v>
      </c>
    </row>
    <row r="19" spans="2:9" ht="15" customHeight="1" x14ac:dyDescent="0.2">
      <c r="B19" t="s">
        <v>65</v>
      </c>
      <c r="C19" s="12">
        <v>9</v>
      </c>
      <c r="D19" s="8">
        <v>4.0199999999999996</v>
      </c>
      <c r="E19" s="12">
        <v>6</v>
      </c>
      <c r="F19" s="8">
        <v>4.1399999999999997</v>
      </c>
      <c r="G19" s="12">
        <v>3</v>
      </c>
      <c r="H19" s="8">
        <v>3.95</v>
      </c>
      <c r="I19" s="12">
        <v>0</v>
      </c>
    </row>
    <row r="20" spans="2:9" ht="15" customHeight="1" x14ac:dyDescent="0.2">
      <c r="B20" s="9" t="s">
        <v>281</v>
      </c>
      <c r="C20" s="12">
        <f>SUM(LTBL_43348[総数／事業所数])</f>
        <v>224</v>
      </c>
      <c r="E20" s="12">
        <f>SUBTOTAL(109,LTBL_43348[個人／事業所数])</f>
        <v>145</v>
      </c>
      <c r="G20" s="12">
        <f>SUBTOTAL(109,LTBL_43348[法人／事業所数])</f>
        <v>76</v>
      </c>
      <c r="I20" s="12">
        <f>SUBTOTAL(109,LTBL_43348[法人以外の団体／事業所数])</f>
        <v>1</v>
      </c>
    </row>
    <row r="21" spans="2:9" ht="15" customHeight="1" x14ac:dyDescent="0.2">
      <c r="E21" s="11">
        <f>LTBL_43348[[#Totals],[個人／事業所数]]/LTBL_43348[[#Totals],[総数／事業所数]]</f>
        <v>0.6473214285714286</v>
      </c>
      <c r="G21" s="11">
        <f>LTBL_43348[[#Totals],[法人／事業所数]]/LTBL_43348[[#Totals],[総数／事業所数]]</f>
        <v>0.3392857142857143</v>
      </c>
      <c r="I21" s="11">
        <f>LTBL_43348[[#Totals],[法人以外の団体／事業所数]]/LTBL_43348[[#Totals],[総数／事業所数]]</f>
        <v>4.464285714285714E-3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28</v>
      </c>
      <c r="D24" s="8">
        <v>12.5</v>
      </c>
      <c r="E24" s="12">
        <v>10</v>
      </c>
      <c r="F24" s="8">
        <v>6.9</v>
      </c>
      <c r="G24" s="12">
        <v>18</v>
      </c>
      <c r="H24" s="8">
        <v>23.68</v>
      </c>
      <c r="I24" s="12">
        <v>0</v>
      </c>
    </row>
    <row r="25" spans="2:9" ht="15" customHeight="1" x14ac:dyDescent="0.2">
      <c r="B25" t="s">
        <v>89</v>
      </c>
      <c r="C25" s="12">
        <v>28</v>
      </c>
      <c r="D25" s="8">
        <v>12.5</v>
      </c>
      <c r="E25" s="12">
        <v>28</v>
      </c>
      <c r="F25" s="8">
        <v>19.309999999999999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83</v>
      </c>
      <c r="C26" s="12">
        <v>24</v>
      </c>
      <c r="D26" s="8">
        <v>10.71</v>
      </c>
      <c r="E26" s="12">
        <v>13</v>
      </c>
      <c r="F26" s="8">
        <v>8.9700000000000006</v>
      </c>
      <c r="G26" s="12">
        <v>11</v>
      </c>
      <c r="H26" s="8">
        <v>14.47</v>
      </c>
      <c r="I26" s="12">
        <v>0</v>
      </c>
    </row>
    <row r="27" spans="2:9" ht="15" customHeight="1" x14ac:dyDescent="0.2">
      <c r="B27" t="s">
        <v>75</v>
      </c>
      <c r="C27" s="12">
        <v>16</v>
      </c>
      <c r="D27" s="8">
        <v>7.14</v>
      </c>
      <c r="E27" s="12">
        <v>13</v>
      </c>
      <c r="F27" s="8">
        <v>8.9700000000000006</v>
      </c>
      <c r="G27" s="12">
        <v>3</v>
      </c>
      <c r="H27" s="8">
        <v>3.95</v>
      </c>
      <c r="I27" s="12">
        <v>0</v>
      </c>
    </row>
    <row r="28" spans="2:9" ht="15" customHeight="1" x14ac:dyDescent="0.2">
      <c r="B28" t="s">
        <v>81</v>
      </c>
      <c r="C28" s="12">
        <v>15</v>
      </c>
      <c r="D28" s="8">
        <v>6.7</v>
      </c>
      <c r="E28" s="12">
        <v>12</v>
      </c>
      <c r="F28" s="8">
        <v>8.2799999999999994</v>
      </c>
      <c r="G28" s="12">
        <v>2</v>
      </c>
      <c r="H28" s="8">
        <v>2.63</v>
      </c>
      <c r="I28" s="12">
        <v>1</v>
      </c>
    </row>
    <row r="29" spans="2:9" ht="15" customHeight="1" x14ac:dyDescent="0.2">
      <c r="B29" t="s">
        <v>88</v>
      </c>
      <c r="C29" s="12">
        <v>14</v>
      </c>
      <c r="D29" s="8">
        <v>6.25</v>
      </c>
      <c r="E29" s="12">
        <v>12</v>
      </c>
      <c r="F29" s="8">
        <v>8.2799999999999994</v>
      </c>
      <c r="G29" s="12">
        <v>2</v>
      </c>
      <c r="H29" s="8">
        <v>2.63</v>
      </c>
      <c r="I29" s="12">
        <v>0</v>
      </c>
    </row>
    <row r="30" spans="2:9" ht="15" customHeight="1" x14ac:dyDescent="0.2">
      <c r="B30" t="s">
        <v>82</v>
      </c>
      <c r="C30" s="12">
        <v>8</v>
      </c>
      <c r="D30" s="8">
        <v>3.57</v>
      </c>
      <c r="E30" s="12">
        <v>5</v>
      </c>
      <c r="F30" s="8">
        <v>3.45</v>
      </c>
      <c r="G30" s="12">
        <v>3</v>
      </c>
      <c r="H30" s="8">
        <v>3.95</v>
      </c>
      <c r="I30" s="12">
        <v>0</v>
      </c>
    </row>
    <row r="31" spans="2:9" ht="15" customHeight="1" x14ac:dyDescent="0.2">
      <c r="B31" t="s">
        <v>76</v>
      </c>
      <c r="C31" s="12">
        <v>7</v>
      </c>
      <c r="D31" s="8">
        <v>3.13</v>
      </c>
      <c r="E31" s="12">
        <v>5</v>
      </c>
      <c r="F31" s="8">
        <v>3.45</v>
      </c>
      <c r="G31" s="12">
        <v>2</v>
      </c>
      <c r="H31" s="8">
        <v>2.63</v>
      </c>
      <c r="I31" s="12">
        <v>0</v>
      </c>
    </row>
    <row r="32" spans="2:9" ht="15" customHeight="1" x14ac:dyDescent="0.2">
      <c r="B32" t="s">
        <v>91</v>
      </c>
      <c r="C32" s="12">
        <v>6</v>
      </c>
      <c r="D32" s="8">
        <v>2.68</v>
      </c>
      <c r="E32" s="12">
        <v>5</v>
      </c>
      <c r="F32" s="8">
        <v>3.45</v>
      </c>
      <c r="G32" s="12">
        <v>1</v>
      </c>
      <c r="H32" s="8">
        <v>1.32</v>
      </c>
      <c r="I32" s="12">
        <v>0</v>
      </c>
    </row>
    <row r="33" spans="2:9" ht="15" customHeight="1" x14ac:dyDescent="0.2">
      <c r="B33" t="s">
        <v>93</v>
      </c>
      <c r="C33" s="12">
        <v>6</v>
      </c>
      <c r="D33" s="8">
        <v>2.68</v>
      </c>
      <c r="E33" s="12">
        <v>5</v>
      </c>
      <c r="F33" s="8">
        <v>3.45</v>
      </c>
      <c r="G33" s="12">
        <v>1</v>
      </c>
      <c r="H33" s="8">
        <v>1.32</v>
      </c>
      <c r="I33" s="12">
        <v>0</v>
      </c>
    </row>
    <row r="34" spans="2:9" ht="15" customHeight="1" x14ac:dyDescent="0.2">
      <c r="B34" t="s">
        <v>78</v>
      </c>
      <c r="C34" s="12">
        <v>5</v>
      </c>
      <c r="D34" s="8">
        <v>2.23</v>
      </c>
      <c r="E34" s="12">
        <v>3</v>
      </c>
      <c r="F34" s="8">
        <v>2.0699999999999998</v>
      </c>
      <c r="G34" s="12">
        <v>2</v>
      </c>
      <c r="H34" s="8">
        <v>2.63</v>
      </c>
      <c r="I34" s="12">
        <v>0</v>
      </c>
    </row>
    <row r="35" spans="2:9" ht="15" customHeight="1" x14ac:dyDescent="0.2">
      <c r="B35" t="s">
        <v>101</v>
      </c>
      <c r="C35" s="12">
        <v>5</v>
      </c>
      <c r="D35" s="8">
        <v>2.23</v>
      </c>
      <c r="E35" s="12">
        <v>3</v>
      </c>
      <c r="F35" s="8">
        <v>2.0699999999999998</v>
      </c>
      <c r="G35" s="12">
        <v>2</v>
      </c>
      <c r="H35" s="8">
        <v>2.63</v>
      </c>
      <c r="I35" s="12">
        <v>0</v>
      </c>
    </row>
    <row r="36" spans="2:9" ht="15" customHeight="1" x14ac:dyDescent="0.2">
      <c r="B36" t="s">
        <v>77</v>
      </c>
      <c r="C36" s="12">
        <v>4</v>
      </c>
      <c r="D36" s="8">
        <v>1.79</v>
      </c>
      <c r="E36" s="12">
        <v>4</v>
      </c>
      <c r="F36" s="8">
        <v>2.76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108</v>
      </c>
      <c r="C37" s="12">
        <v>4</v>
      </c>
      <c r="D37" s="8">
        <v>1.79</v>
      </c>
      <c r="E37" s="12">
        <v>4</v>
      </c>
      <c r="F37" s="8">
        <v>2.76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109</v>
      </c>
      <c r="C38" s="12">
        <v>4</v>
      </c>
      <c r="D38" s="8">
        <v>1.79</v>
      </c>
      <c r="E38" s="12">
        <v>1</v>
      </c>
      <c r="F38" s="8">
        <v>0.69</v>
      </c>
      <c r="G38" s="12">
        <v>3</v>
      </c>
      <c r="H38" s="8">
        <v>3.95</v>
      </c>
      <c r="I38" s="12">
        <v>0</v>
      </c>
    </row>
    <row r="39" spans="2:9" ht="15" customHeight="1" x14ac:dyDescent="0.2">
      <c r="B39" t="s">
        <v>111</v>
      </c>
      <c r="C39" s="12">
        <v>4</v>
      </c>
      <c r="D39" s="8">
        <v>1.79</v>
      </c>
      <c r="E39" s="12">
        <v>0</v>
      </c>
      <c r="F39" s="8">
        <v>0</v>
      </c>
      <c r="G39" s="12">
        <v>4</v>
      </c>
      <c r="H39" s="8">
        <v>5.26</v>
      </c>
      <c r="I39" s="12">
        <v>0</v>
      </c>
    </row>
    <row r="40" spans="2:9" ht="15" customHeight="1" x14ac:dyDescent="0.2">
      <c r="B40" t="s">
        <v>87</v>
      </c>
      <c r="C40" s="12">
        <v>4</v>
      </c>
      <c r="D40" s="8">
        <v>1.79</v>
      </c>
      <c r="E40" s="12">
        <v>2</v>
      </c>
      <c r="F40" s="8">
        <v>1.38</v>
      </c>
      <c r="G40" s="12">
        <v>2</v>
      </c>
      <c r="H40" s="8">
        <v>2.63</v>
      </c>
      <c r="I40" s="12">
        <v>0</v>
      </c>
    </row>
    <row r="41" spans="2:9" ht="15" customHeight="1" x14ac:dyDescent="0.2">
      <c r="B41" t="s">
        <v>90</v>
      </c>
      <c r="C41" s="12">
        <v>4</v>
      </c>
      <c r="D41" s="8">
        <v>1.79</v>
      </c>
      <c r="E41" s="12">
        <v>4</v>
      </c>
      <c r="F41" s="8">
        <v>2.76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86</v>
      </c>
      <c r="C42" s="12">
        <v>3</v>
      </c>
      <c r="D42" s="8">
        <v>1.34</v>
      </c>
      <c r="E42" s="12">
        <v>3</v>
      </c>
      <c r="F42" s="8">
        <v>2.0699999999999998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110</v>
      </c>
      <c r="C43" s="12">
        <v>2</v>
      </c>
      <c r="D43" s="8">
        <v>0.89</v>
      </c>
      <c r="E43" s="12">
        <v>1</v>
      </c>
      <c r="F43" s="8">
        <v>0.69</v>
      </c>
      <c r="G43" s="12">
        <v>1</v>
      </c>
      <c r="H43" s="8">
        <v>1.32</v>
      </c>
      <c r="I43" s="12">
        <v>0</v>
      </c>
    </row>
    <row r="44" spans="2:9" ht="15" customHeight="1" x14ac:dyDescent="0.2">
      <c r="B44" t="s">
        <v>102</v>
      </c>
      <c r="C44" s="12">
        <v>2</v>
      </c>
      <c r="D44" s="8">
        <v>0.89</v>
      </c>
      <c r="E44" s="12">
        <v>0</v>
      </c>
      <c r="F44" s="8">
        <v>0</v>
      </c>
      <c r="G44" s="12">
        <v>2</v>
      </c>
      <c r="H44" s="8">
        <v>2.63</v>
      </c>
      <c r="I44" s="12">
        <v>0</v>
      </c>
    </row>
    <row r="45" spans="2:9" ht="15" customHeight="1" x14ac:dyDescent="0.2">
      <c r="B45" t="s">
        <v>112</v>
      </c>
      <c r="C45" s="12">
        <v>2</v>
      </c>
      <c r="D45" s="8">
        <v>0.89</v>
      </c>
      <c r="E45" s="12">
        <v>0</v>
      </c>
      <c r="F45" s="8">
        <v>0</v>
      </c>
      <c r="G45" s="12">
        <v>1</v>
      </c>
      <c r="H45" s="8">
        <v>1.32</v>
      </c>
      <c r="I45" s="12">
        <v>0</v>
      </c>
    </row>
    <row r="46" spans="2:9" ht="15" customHeight="1" x14ac:dyDescent="0.2">
      <c r="B46" t="s">
        <v>113</v>
      </c>
      <c r="C46" s="12">
        <v>2</v>
      </c>
      <c r="D46" s="8">
        <v>0.89</v>
      </c>
      <c r="E46" s="12">
        <v>0</v>
      </c>
      <c r="F46" s="8">
        <v>0</v>
      </c>
      <c r="G46" s="12">
        <v>1</v>
      </c>
      <c r="H46" s="8">
        <v>1.32</v>
      </c>
      <c r="I46" s="12">
        <v>0</v>
      </c>
    </row>
    <row r="47" spans="2:9" ht="15" customHeight="1" x14ac:dyDescent="0.2">
      <c r="B47" t="s">
        <v>114</v>
      </c>
      <c r="C47" s="12">
        <v>2</v>
      </c>
      <c r="D47" s="8">
        <v>0.89</v>
      </c>
      <c r="E47" s="12">
        <v>1</v>
      </c>
      <c r="F47" s="8">
        <v>0.69</v>
      </c>
      <c r="G47" s="12">
        <v>1</v>
      </c>
      <c r="H47" s="8">
        <v>1.32</v>
      </c>
      <c r="I47" s="12">
        <v>0</v>
      </c>
    </row>
    <row r="48" spans="2:9" ht="15" customHeight="1" x14ac:dyDescent="0.2">
      <c r="B48" t="s">
        <v>80</v>
      </c>
      <c r="C48" s="12">
        <v>2</v>
      </c>
      <c r="D48" s="8">
        <v>0.89</v>
      </c>
      <c r="E48" s="12">
        <v>2</v>
      </c>
      <c r="F48" s="8">
        <v>1.38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85</v>
      </c>
      <c r="C49" s="12">
        <v>2</v>
      </c>
      <c r="D49" s="8">
        <v>0.89</v>
      </c>
      <c r="E49" s="12">
        <v>2</v>
      </c>
      <c r="F49" s="8">
        <v>1.38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106</v>
      </c>
      <c r="C50" s="12">
        <v>2</v>
      </c>
      <c r="D50" s="8">
        <v>0.89</v>
      </c>
      <c r="E50" s="12">
        <v>1</v>
      </c>
      <c r="F50" s="8">
        <v>0.69</v>
      </c>
      <c r="G50" s="12">
        <v>1</v>
      </c>
      <c r="H50" s="8">
        <v>1.32</v>
      </c>
      <c r="I50" s="12">
        <v>0</v>
      </c>
    </row>
    <row r="51" spans="2:9" ht="15" customHeight="1" x14ac:dyDescent="0.2">
      <c r="B51" t="s">
        <v>97</v>
      </c>
      <c r="C51" s="12">
        <v>2</v>
      </c>
      <c r="D51" s="8">
        <v>0.89</v>
      </c>
      <c r="E51" s="12">
        <v>2</v>
      </c>
      <c r="F51" s="8">
        <v>1.38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92</v>
      </c>
      <c r="C52" s="12">
        <v>2</v>
      </c>
      <c r="D52" s="8">
        <v>0.89</v>
      </c>
      <c r="E52" s="12">
        <v>0</v>
      </c>
      <c r="F52" s="8">
        <v>0</v>
      </c>
      <c r="G52" s="12">
        <v>2</v>
      </c>
      <c r="H52" s="8">
        <v>2.63</v>
      </c>
      <c r="I52" s="12">
        <v>0</v>
      </c>
    </row>
    <row r="55" spans="2:9" ht="33" customHeight="1" x14ac:dyDescent="0.2">
      <c r="B55" t="s">
        <v>283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2">
      <c r="B56" t="s">
        <v>150</v>
      </c>
      <c r="C56" s="12">
        <v>14</v>
      </c>
      <c r="D56" s="8">
        <v>6.25</v>
      </c>
      <c r="E56" s="12">
        <v>14</v>
      </c>
      <c r="F56" s="8">
        <v>9.66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135</v>
      </c>
      <c r="C57" s="12">
        <v>13</v>
      </c>
      <c r="D57" s="8">
        <v>5.8</v>
      </c>
      <c r="E57" s="12">
        <v>1</v>
      </c>
      <c r="F57" s="8">
        <v>0.69</v>
      </c>
      <c r="G57" s="12">
        <v>12</v>
      </c>
      <c r="H57" s="8">
        <v>15.79</v>
      </c>
      <c r="I57" s="12">
        <v>0</v>
      </c>
    </row>
    <row r="58" spans="2:9" ht="15" customHeight="1" x14ac:dyDescent="0.2">
      <c r="B58" t="s">
        <v>151</v>
      </c>
      <c r="C58" s="12">
        <v>13</v>
      </c>
      <c r="D58" s="8">
        <v>5.8</v>
      </c>
      <c r="E58" s="12">
        <v>13</v>
      </c>
      <c r="F58" s="8">
        <v>8.9700000000000006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137</v>
      </c>
      <c r="C59" s="12">
        <v>9</v>
      </c>
      <c r="D59" s="8">
        <v>4.0199999999999996</v>
      </c>
      <c r="E59" s="12">
        <v>7</v>
      </c>
      <c r="F59" s="8">
        <v>4.83</v>
      </c>
      <c r="G59" s="12">
        <v>2</v>
      </c>
      <c r="H59" s="8">
        <v>2.63</v>
      </c>
      <c r="I59" s="12">
        <v>0</v>
      </c>
    </row>
    <row r="60" spans="2:9" ht="15" customHeight="1" x14ac:dyDescent="0.2">
      <c r="B60" t="s">
        <v>140</v>
      </c>
      <c r="C60" s="12">
        <v>9</v>
      </c>
      <c r="D60" s="8">
        <v>4.0199999999999996</v>
      </c>
      <c r="E60" s="12">
        <v>7</v>
      </c>
      <c r="F60" s="8">
        <v>4.83</v>
      </c>
      <c r="G60" s="12">
        <v>2</v>
      </c>
      <c r="H60" s="8">
        <v>2.63</v>
      </c>
      <c r="I60" s="12">
        <v>0</v>
      </c>
    </row>
    <row r="61" spans="2:9" ht="15" customHeight="1" x14ac:dyDescent="0.2">
      <c r="B61" t="s">
        <v>141</v>
      </c>
      <c r="C61" s="12">
        <v>7</v>
      </c>
      <c r="D61" s="8">
        <v>3.13</v>
      </c>
      <c r="E61" s="12">
        <v>4</v>
      </c>
      <c r="F61" s="8">
        <v>2.76</v>
      </c>
      <c r="G61" s="12">
        <v>3</v>
      </c>
      <c r="H61" s="8">
        <v>3.95</v>
      </c>
      <c r="I61" s="12">
        <v>0</v>
      </c>
    </row>
    <row r="62" spans="2:9" ht="15" customHeight="1" x14ac:dyDescent="0.2">
      <c r="B62" t="s">
        <v>168</v>
      </c>
      <c r="C62" s="12">
        <v>7</v>
      </c>
      <c r="D62" s="8">
        <v>3.13</v>
      </c>
      <c r="E62" s="12">
        <v>4</v>
      </c>
      <c r="F62" s="8">
        <v>2.76</v>
      </c>
      <c r="G62" s="12">
        <v>3</v>
      </c>
      <c r="H62" s="8">
        <v>3.95</v>
      </c>
      <c r="I62" s="12">
        <v>0</v>
      </c>
    </row>
    <row r="63" spans="2:9" ht="15" customHeight="1" x14ac:dyDescent="0.2">
      <c r="B63" t="s">
        <v>136</v>
      </c>
      <c r="C63" s="12">
        <v>6</v>
      </c>
      <c r="D63" s="8">
        <v>2.68</v>
      </c>
      <c r="E63" s="12">
        <v>2</v>
      </c>
      <c r="F63" s="8">
        <v>1.38</v>
      </c>
      <c r="G63" s="12">
        <v>4</v>
      </c>
      <c r="H63" s="8">
        <v>5.26</v>
      </c>
      <c r="I63" s="12">
        <v>0</v>
      </c>
    </row>
    <row r="64" spans="2:9" ht="15" customHeight="1" x14ac:dyDescent="0.2">
      <c r="B64" t="s">
        <v>138</v>
      </c>
      <c r="C64" s="12">
        <v>6</v>
      </c>
      <c r="D64" s="8">
        <v>2.68</v>
      </c>
      <c r="E64" s="12">
        <v>4</v>
      </c>
      <c r="F64" s="8">
        <v>2.76</v>
      </c>
      <c r="G64" s="12">
        <v>2</v>
      </c>
      <c r="H64" s="8">
        <v>2.63</v>
      </c>
      <c r="I64" s="12">
        <v>0</v>
      </c>
    </row>
    <row r="65" spans="2:9" ht="15" customHeight="1" x14ac:dyDescent="0.2">
      <c r="B65" t="s">
        <v>154</v>
      </c>
      <c r="C65" s="12">
        <v>6</v>
      </c>
      <c r="D65" s="8">
        <v>2.68</v>
      </c>
      <c r="E65" s="12">
        <v>5</v>
      </c>
      <c r="F65" s="8">
        <v>3.45</v>
      </c>
      <c r="G65" s="12">
        <v>1</v>
      </c>
      <c r="H65" s="8">
        <v>1.32</v>
      </c>
      <c r="I65" s="12">
        <v>0</v>
      </c>
    </row>
    <row r="66" spans="2:9" ht="15" customHeight="1" x14ac:dyDescent="0.2">
      <c r="B66" t="s">
        <v>184</v>
      </c>
      <c r="C66" s="12">
        <v>5</v>
      </c>
      <c r="D66" s="8">
        <v>2.23</v>
      </c>
      <c r="E66" s="12">
        <v>4</v>
      </c>
      <c r="F66" s="8">
        <v>2.76</v>
      </c>
      <c r="G66" s="12">
        <v>1</v>
      </c>
      <c r="H66" s="8">
        <v>1.32</v>
      </c>
      <c r="I66" s="12">
        <v>0</v>
      </c>
    </row>
    <row r="67" spans="2:9" ht="15" customHeight="1" x14ac:dyDescent="0.2">
      <c r="B67" t="s">
        <v>148</v>
      </c>
      <c r="C67" s="12">
        <v>5</v>
      </c>
      <c r="D67" s="8">
        <v>2.23</v>
      </c>
      <c r="E67" s="12">
        <v>5</v>
      </c>
      <c r="F67" s="8">
        <v>3.45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185</v>
      </c>
      <c r="C68" s="12">
        <v>4</v>
      </c>
      <c r="D68" s="8">
        <v>1.79</v>
      </c>
      <c r="E68" s="12">
        <v>4</v>
      </c>
      <c r="F68" s="8">
        <v>2.76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186</v>
      </c>
      <c r="C69" s="12">
        <v>4</v>
      </c>
      <c r="D69" s="8">
        <v>1.79</v>
      </c>
      <c r="E69" s="12">
        <v>1</v>
      </c>
      <c r="F69" s="8">
        <v>0.69</v>
      </c>
      <c r="G69" s="12">
        <v>3</v>
      </c>
      <c r="H69" s="8">
        <v>3.95</v>
      </c>
      <c r="I69" s="12">
        <v>0</v>
      </c>
    </row>
    <row r="70" spans="2:9" ht="15" customHeight="1" x14ac:dyDescent="0.2">
      <c r="B70" t="s">
        <v>142</v>
      </c>
      <c r="C70" s="12">
        <v>4</v>
      </c>
      <c r="D70" s="8">
        <v>1.79</v>
      </c>
      <c r="E70" s="12">
        <v>1</v>
      </c>
      <c r="F70" s="8">
        <v>0.69</v>
      </c>
      <c r="G70" s="12">
        <v>3</v>
      </c>
      <c r="H70" s="8">
        <v>3.95</v>
      </c>
      <c r="I70" s="12">
        <v>0</v>
      </c>
    </row>
    <row r="71" spans="2:9" ht="15" customHeight="1" x14ac:dyDescent="0.2">
      <c r="B71" t="s">
        <v>143</v>
      </c>
      <c r="C71" s="12">
        <v>4</v>
      </c>
      <c r="D71" s="8">
        <v>1.79</v>
      </c>
      <c r="E71" s="12">
        <v>2</v>
      </c>
      <c r="F71" s="8">
        <v>1.38</v>
      </c>
      <c r="G71" s="12">
        <v>2</v>
      </c>
      <c r="H71" s="8">
        <v>2.63</v>
      </c>
      <c r="I71" s="12">
        <v>0</v>
      </c>
    </row>
    <row r="72" spans="2:9" ht="15" customHeight="1" x14ac:dyDescent="0.2">
      <c r="B72" t="s">
        <v>147</v>
      </c>
      <c r="C72" s="12">
        <v>4</v>
      </c>
      <c r="D72" s="8">
        <v>1.79</v>
      </c>
      <c r="E72" s="12">
        <v>2</v>
      </c>
      <c r="F72" s="8">
        <v>1.38</v>
      </c>
      <c r="G72" s="12">
        <v>2</v>
      </c>
      <c r="H72" s="8">
        <v>2.63</v>
      </c>
      <c r="I72" s="12">
        <v>0</v>
      </c>
    </row>
    <row r="73" spans="2:9" ht="15" customHeight="1" x14ac:dyDescent="0.2">
      <c r="B73" t="s">
        <v>187</v>
      </c>
      <c r="C73" s="12">
        <v>4</v>
      </c>
      <c r="D73" s="8">
        <v>1.79</v>
      </c>
      <c r="E73" s="12">
        <v>2</v>
      </c>
      <c r="F73" s="8">
        <v>1.38</v>
      </c>
      <c r="G73" s="12">
        <v>2</v>
      </c>
      <c r="H73" s="8">
        <v>2.63</v>
      </c>
      <c r="I73" s="12">
        <v>0</v>
      </c>
    </row>
    <row r="74" spans="2:9" ht="15" customHeight="1" x14ac:dyDescent="0.2">
      <c r="B74" t="s">
        <v>152</v>
      </c>
      <c r="C74" s="12">
        <v>4</v>
      </c>
      <c r="D74" s="8">
        <v>1.79</v>
      </c>
      <c r="E74" s="12">
        <v>4</v>
      </c>
      <c r="F74" s="8">
        <v>2.76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153</v>
      </c>
      <c r="C75" s="12">
        <v>4</v>
      </c>
      <c r="D75" s="8">
        <v>1.79</v>
      </c>
      <c r="E75" s="12">
        <v>3</v>
      </c>
      <c r="F75" s="8">
        <v>2.0699999999999998</v>
      </c>
      <c r="G75" s="12">
        <v>1</v>
      </c>
      <c r="H75" s="8">
        <v>1.32</v>
      </c>
      <c r="I75" s="12">
        <v>0</v>
      </c>
    </row>
    <row r="77" spans="2:9" ht="15" customHeight="1" x14ac:dyDescent="0.2">
      <c r="B77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3788-A0AE-47DA-8BFD-503D4060D3DD}">
  <sheetPr>
    <pageSetUpPr fitToPage="1"/>
  </sheetPr>
  <dimension ref="B2:I11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19</v>
      </c>
      <c r="D6" s="8">
        <v>19</v>
      </c>
      <c r="E6" s="12">
        <v>7</v>
      </c>
      <c r="F6" s="8">
        <v>12.5</v>
      </c>
      <c r="G6" s="12">
        <v>12</v>
      </c>
      <c r="H6" s="8">
        <v>28.57</v>
      </c>
      <c r="I6" s="12">
        <v>0</v>
      </c>
    </row>
    <row r="7" spans="2:9" ht="15" customHeight="1" x14ac:dyDescent="0.2">
      <c r="B7" t="s">
        <v>53</v>
      </c>
      <c r="C7" s="12">
        <v>5</v>
      </c>
      <c r="D7" s="8">
        <v>5</v>
      </c>
      <c r="E7" s="12">
        <v>1</v>
      </c>
      <c r="F7" s="8">
        <v>1.79</v>
      </c>
      <c r="G7" s="12">
        <v>4</v>
      </c>
      <c r="H7" s="8">
        <v>9.52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2</v>
      </c>
      <c r="E8" s="12">
        <v>0</v>
      </c>
      <c r="F8" s="8">
        <v>0</v>
      </c>
      <c r="G8" s="12">
        <v>1</v>
      </c>
      <c r="H8" s="8">
        <v>2.38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1</v>
      </c>
      <c r="E9" s="12">
        <v>0</v>
      </c>
      <c r="F9" s="8">
        <v>0</v>
      </c>
      <c r="G9" s="12">
        <v>1</v>
      </c>
      <c r="H9" s="8">
        <v>2.38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1</v>
      </c>
      <c r="E10" s="12">
        <v>0</v>
      </c>
      <c r="F10" s="8">
        <v>0</v>
      </c>
      <c r="G10" s="12">
        <v>1</v>
      </c>
      <c r="H10" s="8">
        <v>2.38</v>
      </c>
      <c r="I10" s="12">
        <v>0</v>
      </c>
    </row>
    <row r="11" spans="2:9" ht="15" customHeight="1" x14ac:dyDescent="0.2">
      <c r="B11" t="s">
        <v>57</v>
      </c>
      <c r="C11" s="12">
        <v>29</v>
      </c>
      <c r="D11" s="8">
        <v>29</v>
      </c>
      <c r="E11" s="12">
        <v>15</v>
      </c>
      <c r="F11" s="8">
        <v>26.79</v>
      </c>
      <c r="G11" s="12">
        <v>14</v>
      </c>
      <c r="H11" s="8">
        <v>33.33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6</v>
      </c>
      <c r="D13" s="8">
        <v>6</v>
      </c>
      <c r="E13" s="12">
        <v>3</v>
      </c>
      <c r="F13" s="8">
        <v>5.36</v>
      </c>
      <c r="G13" s="12">
        <v>3</v>
      </c>
      <c r="H13" s="8">
        <v>7.14</v>
      </c>
      <c r="I13" s="12">
        <v>0</v>
      </c>
    </row>
    <row r="14" spans="2:9" ht="15" customHeight="1" x14ac:dyDescent="0.2">
      <c r="B14" t="s">
        <v>60</v>
      </c>
      <c r="C14" s="12">
        <v>3</v>
      </c>
      <c r="D14" s="8">
        <v>3</v>
      </c>
      <c r="E14" s="12">
        <v>2</v>
      </c>
      <c r="F14" s="8">
        <v>3.57</v>
      </c>
      <c r="G14" s="12">
        <v>1</v>
      </c>
      <c r="H14" s="8">
        <v>2.38</v>
      </c>
      <c r="I14" s="12">
        <v>0</v>
      </c>
    </row>
    <row r="15" spans="2:9" ht="15" customHeight="1" x14ac:dyDescent="0.2">
      <c r="B15" t="s">
        <v>61</v>
      </c>
      <c r="C15" s="12">
        <v>4</v>
      </c>
      <c r="D15" s="8">
        <v>4</v>
      </c>
      <c r="E15" s="12">
        <v>4</v>
      </c>
      <c r="F15" s="8">
        <v>7.14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62</v>
      </c>
      <c r="C16" s="12">
        <v>12</v>
      </c>
      <c r="D16" s="8">
        <v>12</v>
      </c>
      <c r="E16" s="12">
        <v>12</v>
      </c>
      <c r="F16" s="8">
        <v>21.43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2</v>
      </c>
      <c r="D17" s="8">
        <v>2</v>
      </c>
      <c r="E17" s="12">
        <v>2</v>
      </c>
      <c r="F17" s="8">
        <v>3.57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8</v>
      </c>
      <c r="D18" s="8">
        <v>8</v>
      </c>
      <c r="E18" s="12">
        <v>8</v>
      </c>
      <c r="F18" s="8">
        <v>14.29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8</v>
      </c>
      <c r="D19" s="8">
        <v>8</v>
      </c>
      <c r="E19" s="12">
        <v>2</v>
      </c>
      <c r="F19" s="8">
        <v>3.57</v>
      </c>
      <c r="G19" s="12">
        <v>5</v>
      </c>
      <c r="H19" s="8">
        <v>11.9</v>
      </c>
      <c r="I19" s="12">
        <v>0</v>
      </c>
    </row>
    <row r="20" spans="2:9" ht="15" customHeight="1" x14ac:dyDescent="0.2">
      <c r="B20" s="9" t="s">
        <v>281</v>
      </c>
      <c r="C20" s="12">
        <f>SUM(LTBL_43364[総数／事業所数])</f>
        <v>100</v>
      </c>
      <c r="E20" s="12">
        <f>SUBTOTAL(109,LTBL_43364[個人／事業所数])</f>
        <v>56</v>
      </c>
      <c r="G20" s="12">
        <f>SUBTOTAL(109,LTBL_43364[法人／事業所数])</f>
        <v>42</v>
      </c>
      <c r="I20" s="12">
        <f>SUBTOTAL(109,LTBL_43364[法人以外の団体／事業所数])</f>
        <v>0</v>
      </c>
    </row>
    <row r="21" spans="2:9" ht="15" customHeight="1" x14ac:dyDescent="0.2">
      <c r="E21" s="11">
        <f>LTBL_43364[[#Totals],[個人／事業所数]]/LTBL_43364[[#Totals],[総数／事業所数]]</f>
        <v>0.56000000000000005</v>
      </c>
      <c r="G21" s="11">
        <f>LTBL_43364[[#Totals],[法人／事業所数]]/LTBL_43364[[#Totals],[総数／事業所数]]</f>
        <v>0.42</v>
      </c>
      <c r="I21" s="11">
        <f>LTBL_43364[[#Totals],[法人以外の団体／事業所数]]/LTBL_43364[[#Totals],[総数／事業所数]]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13</v>
      </c>
      <c r="D24" s="8">
        <v>13</v>
      </c>
      <c r="E24" s="12">
        <v>5</v>
      </c>
      <c r="F24" s="8">
        <v>8.93</v>
      </c>
      <c r="G24" s="12">
        <v>8</v>
      </c>
      <c r="H24" s="8">
        <v>19.05</v>
      </c>
      <c r="I24" s="12">
        <v>0</v>
      </c>
    </row>
    <row r="25" spans="2:9" ht="15" customHeight="1" x14ac:dyDescent="0.2">
      <c r="B25" t="s">
        <v>89</v>
      </c>
      <c r="C25" s="12">
        <v>12</v>
      </c>
      <c r="D25" s="8">
        <v>12</v>
      </c>
      <c r="E25" s="12">
        <v>12</v>
      </c>
      <c r="F25" s="8">
        <v>21.43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83</v>
      </c>
      <c r="C26" s="12">
        <v>11</v>
      </c>
      <c r="D26" s="8">
        <v>11</v>
      </c>
      <c r="E26" s="12">
        <v>5</v>
      </c>
      <c r="F26" s="8">
        <v>8.93</v>
      </c>
      <c r="G26" s="12">
        <v>6</v>
      </c>
      <c r="H26" s="8">
        <v>14.29</v>
      </c>
      <c r="I26" s="12">
        <v>0</v>
      </c>
    </row>
    <row r="27" spans="2:9" ht="15" customHeight="1" x14ac:dyDescent="0.2">
      <c r="B27" t="s">
        <v>81</v>
      </c>
      <c r="C27" s="12">
        <v>10</v>
      </c>
      <c r="D27" s="8">
        <v>10</v>
      </c>
      <c r="E27" s="12">
        <v>7</v>
      </c>
      <c r="F27" s="8">
        <v>12.5</v>
      </c>
      <c r="G27" s="12">
        <v>3</v>
      </c>
      <c r="H27" s="8">
        <v>7.14</v>
      </c>
      <c r="I27" s="12">
        <v>0</v>
      </c>
    </row>
    <row r="28" spans="2:9" ht="15" customHeight="1" x14ac:dyDescent="0.2">
      <c r="B28" t="s">
        <v>91</v>
      </c>
      <c r="C28" s="12">
        <v>8</v>
      </c>
      <c r="D28" s="8">
        <v>8</v>
      </c>
      <c r="E28" s="12">
        <v>8</v>
      </c>
      <c r="F28" s="8">
        <v>14.29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93</v>
      </c>
      <c r="C29" s="12">
        <v>5</v>
      </c>
      <c r="D29" s="8">
        <v>5</v>
      </c>
      <c r="E29" s="12">
        <v>2</v>
      </c>
      <c r="F29" s="8">
        <v>3.57</v>
      </c>
      <c r="G29" s="12">
        <v>3</v>
      </c>
      <c r="H29" s="8">
        <v>7.14</v>
      </c>
      <c r="I29" s="12">
        <v>0</v>
      </c>
    </row>
    <row r="30" spans="2:9" ht="15" customHeight="1" x14ac:dyDescent="0.2">
      <c r="B30" t="s">
        <v>75</v>
      </c>
      <c r="C30" s="12">
        <v>4</v>
      </c>
      <c r="D30" s="8">
        <v>4</v>
      </c>
      <c r="E30" s="12">
        <v>0</v>
      </c>
      <c r="F30" s="8">
        <v>0</v>
      </c>
      <c r="G30" s="12">
        <v>4</v>
      </c>
      <c r="H30" s="8">
        <v>9.52</v>
      </c>
      <c r="I30" s="12">
        <v>0</v>
      </c>
    </row>
    <row r="31" spans="2:9" ht="15" customHeight="1" x14ac:dyDescent="0.2">
      <c r="B31" t="s">
        <v>85</v>
      </c>
      <c r="C31" s="12">
        <v>4</v>
      </c>
      <c r="D31" s="8">
        <v>4</v>
      </c>
      <c r="E31" s="12">
        <v>3</v>
      </c>
      <c r="F31" s="8">
        <v>5.36</v>
      </c>
      <c r="G31" s="12">
        <v>1</v>
      </c>
      <c r="H31" s="8">
        <v>2.38</v>
      </c>
      <c r="I31" s="12">
        <v>0</v>
      </c>
    </row>
    <row r="32" spans="2:9" ht="15" customHeight="1" x14ac:dyDescent="0.2">
      <c r="B32" t="s">
        <v>88</v>
      </c>
      <c r="C32" s="12">
        <v>4</v>
      </c>
      <c r="D32" s="8">
        <v>4</v>
      </c>
      <c r="E32" s="12">
        <v>4</v>
      </c>
      <c r="F32" s="8">
        <v>7.14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82</v>
      </c>
      <c r="C33" s="12">
        <v>3</v>
      </c>
      <c r="D33" s="8">
        <v>3</v>
      </c>
      <c r="E33" s="12">
        <v>1</v>
      </c>
      <c r="F33" s="8">
        <v>1.79</v>
      </c>
      <c r="G33" s="12">
        <v>2</v>
      </c>
      <c r="H33" s="8">
        <v>4.76</v>
      </c>
      <c r="I33" s="12">
        <v>0</v>
      </c>
    </row>
    <row r="34" spans="2:9" ht="15" customHeight="1" x14ac:dyDescent="0.2">
      <c r="B34" t="s">
        <v>76</v>
      </c>
      <c r="C34" s="12">
        <v>2</v>
      </c>
      <c r="D34" s="8">
        <v>2</v>
      </c>
      <c r="E34" s="12">
        <v>2</v>
      </c>
      <c r="F34" s="8">
        <v>3.57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77</v>
      </c>
      <c r="C35" s="12">
        <v>2</v>
      </c>
      <c r="D35" s="8">
        <v>2</v>
      </c>
      <c r="E35" s="12">
        <v>1</v>
      </c>
      <c r="F35" s="8">
        <v>1.79</v>
      </c>
      <c r="G35" s="12">
        <v>1</v>
      </c>
      <c r="H35" s="8">
        <v>2.38</v>
      </c>
      <c r="I35" s="12">
        <v>0</v>
      </c>
    </row>
    <row r="36" spans="2:9" ht="15" customHeight="1" x14ac:dyDescent="0.2">
      <c r="B36" t="s">
        <v>78</v>
      </c>
      <c r="C36" s="12">
        <v>2</v>
      </c>
      <c r="D36" s="8">
        <v>2</v>
      </c>
      <c r="E36" s="12">
        <v>0</v>
      </c>
      <c r="F36" s="8">
        <v>0</v>
      </c>
      <c r="G36" s="12">
        <v>2</v>
      </c>
      <c r="H36" s="8">
        <v>4.76</v>
      </c>
      <c r="I36" s="12">
        <v>0</v>
      </c>
    </row>
    <row r="37" spans="2:9" ht="15" customHeight="1" x14ac:dyDescent="0.2">
      <c r="B37" t="s">
        <v>98</v>
      </c>
      <c r="C37" s="12">
        <v>2</v>
      </c>
      <c r="D37" s="8">
        <v>2</v>
      </c>
      <c r="E37" s="12">
        <v>1</v>
      </c>
      <c r="F37" s="8">
        <v>1.79</v>
      </c>
      <c r="G37" s="12">
        <v>1</v>
      </c>
      <c r="H37" s="8">
        <v>2.38</v>
      </c>
      <c r="I37" s="12">
        <v>0</v>
      </c>
    </row>
    <row r="38" spans="2:9" ht="15" customHeight="1" x14ac:dyDescent="0.2">
      <c r="B38" t="s">
        <v>86</v>
      </c>
      <c r="C38" s="12">
        <v>2</v>
      </c>
      <c r="D38" s="8">
        <v>2</v>
      </c>
      <c r="E38" s="12">
        <v>2</v>
      </c>
      <c r="F38" s="8">
        <v>3.57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90</v>
      </c>
      <c r="C39" s="12">
        <v>2</v>
      </c>
      <c r="D39" s="8">
        <v>2</v>
      </c>
      <c r="E39" s="12">
        <v>2</v>
      </c>
      <c r="F39" s="8">
        <v>3.57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95</v>
      </c>
      <c r="C40" s="12">
        <v>2</v>
      </c>
      <c r="D40" s="8">
        <v>2</v>
      </c>
      <c r="E40" s="12">
        <v>0</v>
      </c>
      <c r="F40" s="8">
        <v>0</v>
      </c>
      <c r="G40" s="12">
        <v>1</v>
      </c>
      <c r="H40" s="8">
        <v>2.38</v>
      </c>
      <c r="I40" s="12">
        <v>0</v>
      </c>
    </row>
    <row r="41" spans="2:9" ht="15" customHeight="1" x14ac:dyDescent="0.2">
      <c r="B41" t="s">
        <v>115</v>
      </c>
      <c r="C41" s="12">
        <v>1</v>
      </c>
      <c r="D41" s="8">
        <v>1</v>
      </c>
      <c r="E41" s="12">
        <v>0</v>
      </c>
      <c r="F41" s="8">
        <v>0</v>
      </c>
      <c r="G41" s="12">
        <v>1</v>
      </c>
      <c r="H41" s="8">
        <v>2.38</v>
      </c>
      <c r="I41" s="12">
        <v>0</v>
      </c>
    </row>
    <row r="42" spans="2:9" ht="15" customHeight="1" x14ac:dyDescent="0.2">
      <c r="B42" t="s">
        <v>111</v>
      </c>
      <c r="C42" s="12">
        <v>1</v>
      </c>
      <c r="D42" s="8">
        <v>1</v>
      </c>
      <c r="E42" s="12">
        <v>0</v>
      </c>
      <c r="F42" s="8">
        <v>0</v>
      </c>
      <c r="G42" s="12">
        <v>1</v>
      </c>
      <c r="H42" s="8">
        <v>2.38</v>
      </c>
      <c r="I42" s="12">
        <v>0</v>
      </c>
    </row>
    <row r="43" spans="2:9" ht="15" customHeight="1" x14ac:dyDescent="0.2">
      <c r="B43" t="s">
        <v>102</v>
      </c>
      <c r="C43" s="12">
        <v>1</v>
      </c>
      <c r="D43" s="8">
        <v>1</v>
      </c>
      <c r="E43" s="12">
        <v>0</v>
      </c>
      <c r="F43" s="8">
        <v>0</v>
      </c>
      <c r="G43" s="12">
        <v>1</v>
      </c>
      <c r="H43" s="8">
        <v>2.38</v>
      </c>
      <c r="I43" s="12">
        <v>0</v>
      </c>
    </row>
    <row r="44" spans="2:9" ht="15" customHeight="1" x14ac:dyDescent="0.2">
      <c r="B44" t="s">
        <v>112</v>
      </c>
      <c r="C44" s="12">
        <v>1</v>
      </c>
      <c r="D44" s="8">
        <v>1</v>
      </c>
      <c r="E44" s="12">
        <v>0</v>
      </c>
      <c r="F44" s="8">
        <v>0</v>
      </c>
      <c r="G44" s="12">
        <v>1</v>
      </c>
      <c r="H44" s="8">
        <v>2.38</v>
      </c>
      <c r="I44" s="12">
        <v>0</v>
      </c>
    </row>
    <row r="45" spans="2:9" ht="15" customHeight="1" x14ac:dyDescent="0.2">
      <c r="B45" t="s">
        <v>113</v>
      </c>
      <c r="C45" s="12">
        <v>1</v>
      </c>
      <c r="D45" s="8">
        <v>1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116</v>
      </c>
      <c r="C46" s="12">
        <v>1</v>
      </c>
      <c r="D46" s="8">
        <v>1</v>
      </c>
      <c r="E46" s="12">
        <v>0</v>
      </c>
      <c r="F46" s="8">
        <v>0</v>
      </c>
      <c r="G46" s="12">
        <v>1</v>
      </c>
      <c r="H46" s="8">
        <v>2.38</v>
      </c>
      <c r="I46" s="12">
        <v>0</v>
      </c>
    </row>
    <row r="47" spans="2:9" ht="15" customHeight="1" x14ac:dyDescent="0.2">
      <c r="B47" t="s">
        <v>114</v>
      </c>
      <c r="C47" s="12">
        <v>1</v>
      </c>
      <c r="D47" s="8">
        <v>1</v>
      </c>
      <c r="E47" s="12">
        <v>0</v>
      </c>
      <c r="F47" s="8">
        <v>0</v>
      </c>
      <c r="G47" s="12">
        <v>1</v>
      </c>
      <c r="H47" s="8">
        <v>2.38</v>
      </c>
      <c r="I47" s="12">
        <v>0</v>
      </c>
    </row>
    <row r="48" spans="2:9" ht="15" customHeight="1" x14ac:dyDescent="0.2">
      <c r="B48" t="s">
        <v>94</v>
      </c>
      <c r="C48" s="12">
        <v>1</v>
      </c>
      <c r="D48" s="8">
        <v>1</v>
      </c>
      <c r="E48" s="12">
        <v>1</v>
      </c>
      <c r="F48" s="8">
        <v>1.79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84</v>
      </c>
      <c r="C49" s="12">
        <v>1</v>
      </c>
      <c r="D49" s="8">
        <v>1</v>
      </c>
      <c r="E49" s="12">
        <v>0</v>
      </c>
      <c r="F49" s="8">
        <v>0</v>
      </c>
      <c r="G49" s="12">
        <v>1</v>
      </c>
      <c r="H49" s="8">
        <v>2.38</v>
      </c>
      <c r="I49" s="12">
        <v>0</v>
      </c>
    </row>
    <row r="50" spans="2:9" ht="15" customHeight="1" x14ac:dyDescent="0.2">
      <c r="B50" t="s">
        <v>117</v>
      </c>
      <c r="C50" s="12">
        <v>1</v>
      </c>
      <c r="D50" s="8">
        <v>1</v>
      </c>
      <c r="E50" s="12">
        <v>0</v>
      </c>
      <c r="F50" s="8">
        <v>0</v>
      </c>
      <c r="G50" s="12">
        <v>1</v>
      </c>
      <c r="H50" s="8">
        <v>2.38</v>
      </c>
      <c r="I50" s="12">
        <v>0</v>
      </c>
    </row>
    <row r="51" spans="2:9" ht="15" customHeight="1" x14ac:dyDescent="0.2">
      <c r="B51" t="s">
        <v>87</v>
      </c>
      <c r="C51" s="12">
        <v>1</v>
      </c>
      <c r="D51" s="8">
        <v>1</v>
      </c>
      <c r="E51" s="12">
        <v>0</v>
      </c>
      <c r="F51" s="8">
        <v>0</v>
      </c>
      <c r="G51" s="12">
        <v>1</v>
      </c>
      <c r="H51" s="8">
        <v>2.38</v>
      </c>
      <c r="I51" s="12">
        <v>0</v>
      </c>
    </row>
    <row r="52" spans="2:9" ht="15" customHeight="1" x14ac:dyDescent="0.2">
      <c r="B52" t="s">
        <v>118</v>
      </c>
      <c r="C52" s="12">
        <v>1</v>
      </c>
      <c r="D52" s="8">
        <v>1</v>
      </c>
      <c r="E52" s="12">
        <v>0</v>
      </c>
      <c r="F52" s="8">
        <v>0</v>
      </c>
      <c r="G52" s="12">
        <v>1</v>
      </c>
      <c r="H52" s="8">
        <v>2.38</v>
      </c>
      <c r="I52" s="12">
        <v>0</v>
      </c>
    </row>
    <row r="55" spans="2:9" ht="33" customHeight="1" x14ac:dyDescent="0.2">
      <c r="B55" t="s">
        <v>283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2">
      <c r="B56" t="s">
        <v>135</v>
      </c>
      <c r="C56" s="12">
        <v>7</v>
      </c>
      <c r="D56" s="8">
        <v>7</v>
      </c>
      <c r="E56" s="12">
        <v>2</v>
      </c>
      <c r="F56" s="8">
        <v>3.57</v>
      </c>
      <c r="G56" s="12">
        <v>5</v>
      </c>
      <c r="H56" s="8">
        <v>11.9</v>
      </c>
      <c r="I56" s="12">
        <v>0</v>
      </c>
    </row>
    <row r="57" spans="2:9" ht="15" customHeight="1" x14ac:dyDescent="0.2">
      <c r="B57" t="s">
        <v>151</v>
      </c>
      <c r="C57" s="12">
        <v>6</v>
      </c>
      <c r="D57" s="8">
        <v>6</v>
      </c>
      <c r="E57" s="12">
        <v>6</v>
      </c>
      <c r="F57" s="8">
        <v>10.71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6</v>
      </c>
      <c r="D58" s="8">
        <v>6</v>
      </c>
      <c r="E58" s="12">
        <v>6</v>
      </c>
      <c r="F58" s="8">
        <v>10.71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137</v>
      </c>
      <c r="C59" s="12">
        <v>5</v>
      </c>
      <c r="D59" s="8">
        <v>5</v>
      </c>
      <c r="E59" s="12">
        <v>3</v>
      </c>
      <c r="F59" s="8">
        <v>5.36</v>
      </c>
      <c r="G59" s="12">
        <v>2</v>
      </c>
      <c r="H59" s="8">
        <v>4.76</v>
      </c>
      <c r="I59" s="12">
        <v>0</v>
      </c>
    </row>
    <row r="60" spans="2:9" ht="15" customHeight="1" x14ac:dyDescent="0.2">
      <c r="B60" t="s">
        <v>150</v>
      </c>
      <c r="C60" s="12">
        <v>5</v>
      </c>
      <c r="D60" s="8">
        <v>5</v>
      </c>
      <c r="E60" s="12">
        <v>5</v>
      </c>
      <c r="F60" s="8">
        <v>8.93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154</v>
      </c>
      <c r="C61" s="12">
        <v>5</v>
      </c>
      <c r="D61" s="8">
        <v>5</v>
      </c>
      <c r="E61" s="12">
        <v>2</v>
      </c>
      <c r="F61" s="8">
        <v>3.57</v>
      </c>
      <c r="G61" s="12">
        <v>3</v>
      </c>
      <c r="H61" s="8">
        <v>7.14</v>
      </c>
      <c r="I61" s="12">
        <v>0</v>
      </c>
    </row>
    <row r="62" spans="2:9" ht="15" customHeight="1" x14ac:dyDescent="0.2">
      <c r="B62" t="s">
        <v>145</v>
      </c>
      <c r="C62" s="12">
        <v>4</v>
      </c>
      <c r="D62" s="8">
        <v>4</v>
      </c>
      <c r="E62" s="12">
        <v>3</v>
      </c>
      <c r="F62" s="8">
        <v>5.36</v>
      </c>
      <c r="G62" s="12">
        <v>1</v>
      </c>
      <c r="H62" s="8">
        <v>2.38</v>
      </c>
      <c r="I62" s="12">
        <v>0</v>
      </c>
    </row>
    <row r="63" spans="2:9" ht="15" customHeight="1" x14ac:dyDescent="0.2">
      <c r="B63" t="s">
        <v>173</v>
      </c>
      <c r="C63" s="12">
        <v>3</v>
      </c>
      <c r="D63" s="8">
        <v>3</v>
      </c>
      <c r="E63" s="12">
        <v>1</v>
      </c>
      <c r="F63" s="8">
        <v>1.79</v>
      </c>
      <c r="G63" s="12">
        <v>2</v>
      </c>
      <c r="H63" s="8">
        <v>4.76</v>
      </c>
      <c r="I63" s="12">
        <v>0</v>
      </c>
    </row>
    <row r="64" spans="2:9" ht="15" customHeight="1" x14ac:dyDescent="0.2">
      <c r="B64" t="s">
        <v>166</v>
      </c>
      <c r="C64" s="12">
        <v>3</v>
      </c>
      <c r="D64" s="8">
        <v>3</v>
      </c>
      <c r="E64" s="12">
        <v>2</v>
      </c>
      <c r="F64" s="8">
        <v>3.57</v>
      </c>
      <c r="G64" s="12">
        <v>1</v>
      </c>
      <c r="H64" s="8">
        <v>2.38</v>
      </c>
      <c r="I64" s="12">
        <v>0</v>
      </c>
    </row>
    <row r="65" spans="2:9" ht="15" customHeight="1" x14ac:dyDescent="0.2">
      <c r="B65" t="s">
        <v>168</v>
      </c>
      <c r="C65" s="12">
        <v>3</v>
      </c>
      <c r="D65" s="8">
        <v>3</v>
      </c>
      <c r="E65" s="12">
        <v>1</v>
      </c>
      <c r="F65" s="8">
        <v>1.79</v>
      </c>
      <c r="G65" s="12">
        <v>2</v>
      </c>
      <c r="H65" s="8">
        <v>4.76</v>
      </c>
      <c r="I65" s="12">
        <v>0</v>
      </c>
    </row>
    <row r="66" spans="2:9" ht="15" customHeight="1" x14ac:dyDescent="0.2">
      <c r="B66" t="s">
        <v>140</v>
      </c>
      <c r="C66" s="12">
        <v>2</v>
      </c>
      <c r="D66" s="8">
        <v>2</v>
      </c>
      <c r="E66" s="12">
        <v>2</v>
      </c>
      <c r="F66" s="8">
        <v>3.57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141</v>
      </c>
      <c r="C67" s="12">
        <v>2</v>
      </c>
      <c r="D67" s="8">
        <v>2</v>
      </c>
      <c r="E67" s="12">
        <v>1</v>
      </c>
      <c r="F67" s="8">
        <v>1.79</v>
      </c>
      <c r="G67" s="12">
        <v>1</v>
      </c>
      <c r="H67" s="8">
        <v>2.38</v>
      </c>
      <c r="I67" s="12">
        <v>0</v>
      </c>
    </row>
    <row r="68" spans="2:9" ht="15" customHeight="1" x14ac:dyDescent="0.2">
      <c r="B68" t="s">
        <v>142</v>
      </c>
      <c r="C68" s="12">
        <v>2</v>
      </c>
      <c r="D68" s="8">
        <v>2</v>
      </c>
      <c r="E68" s="12">
        <v>0</v>
      </c>
      <c r="F68" s="8">
        <v>0</v>
      </c>
      <c r="G68" s="12">
        <v>2</v>
      </c>
      <c r="H68" s="8">
        <v>4.76</v>
      </c>
      <c r="I68" s="12">
        <v>0</v>
      </c>
    </row>
    <row r="69" spans="2:9" ht="15" customHeight="1" x14ac:dyDescent="0.2">
      <c r="B69" t="s">
        <v>205</v>
      </c>
      <c r="C69" s="12">
        <v>2</v>
      </c>
      <c r="D69" s="8">
        <v>2</v>
      </c>
      <c r="E69" s="12">
        <v>2</v>
      </c>
      <c r="F69" s="8">
        <v>3.57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183</v>
      </c>
      <c r="C70" s="12">
        <v>2</v>
      </c>
      <c r="D70" s="8">
        <v>2</v>
      </c>
      <c r="E70" s="12">
        <v>1</v>
      </c>
      <c r="F70" s="8">
        <v>1.79</v>
      </c>
      <c r="G70" s="12">
        <v>1</v>
      </c>
      <c r="H70" s="8">
        <v>2.38</v>
      </c>
      <c r="I70" s="12">
        <v>0</v>
      </c>
    </row>
    <row r="71" spans="2:9" ht="15" customHeight="1" x14ac:dyDescent="0.2">
      <c r="B71" t="s">
        <v>210</v>
      </c>
      <c r="C71" s="12">
        <v>2</v>
      </c>
      <c r="D71" s="8">
        <v>2</v>
      </c>
      <c r="E71" s="12">
        <v>2</v>
      </c>
      <c r="F71" s="8">
        <v>3.57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212</v>
      </c>
      <c r="C72" s="12">
        <v>2</v>
      </c>
      <c r="D72" s="8">
        <v>2</v>
      </c>
      <c r="E72" s="12">
        <v>0</v>
      </c>
      <c r="F72" s="8">
        <v>0</v>
      </c>
      <c r="G72" s="12">
        <v>1</v>
      </c>
      <c r="H72" s="8">
        <v>2.38</v>
      </c>
      <c r="I72" s="12">
        <v>0</v>
      </c>
    </row>
    <row r="73" spans="2:9" ht="15" customHeight="1" x14ac:dyDescent="0.2">
      <c r="B73" t="s">
        <v>188</v>
      </c>
      <c r="C73" s="12">
        <v>1</v>
      </c>
      <c r="D73" s="8">
        <v>1</v>
      </c>
      <c r="E73" s="12">
        <v>0</v>
      </c>
      <c r="F73" s="8">
        <v>0</v>
      </c>
      <c r="G73" s="12">
        <v>1</v>
      </c>
      <c r="H73" s="8">
        <v>2.38</v>
      </c>
      <c r="I73" s="12">
        <v>0</v>
      </c>
    </row>
    <row r="74" spans="2:9" ht="15" customHeight="1" x14ac:dyDescent="0.2">
      <c r="B74" t="s">
        <v>184</v>
      </c>
      <c r="C74" s="12">
        <v>1</v>
      </c>
      <c r="D74" s="8">
        <v>1</v>
      </c>
      <c r="E74" s="12">
        <v>0</v>
      </c>
      <c r="F74" s="8">
        <v>0</v>
      </c>
      <c r="G74" s="12">
        <v>1</v>
      </c>
      <c r="H74" s="8">
        <v>2.38</v>
      </c>
      <c r="I74" s="12">
        <v>0</v>
      </c>
    </row>
    <row r="75" spans="2:9" ht="15" customHeight="1" x14ac:dyDescent="0.2">
      <c r="B75" t="s">
        <v>189</v>
      </c>
      <c r="C75" s="12">
        <v>1</v>
      </c>
      <c r="D75" s="8">
        <v>1</v>
      </c>
      <c r="E75" s="12">
        <v>0</v>
      </c>
      <c r="F75" s="8">
        <v>0</v>
      </c>
      <c r="G75" s="12">
        <v>1</v>
      </c>
      <c r="H75" s="8">
        <v>2.38</v>
      </c>
      <c r="I75" s="12">
        <v>0</v>
      </c>
    </row>
    <row r="76" spans="2:9" ht="15" customHeight="1" x14ac:dyDescent="0.2">
      <c r="B76" t="s">
        <v>190</v>
      </c>
      <c r="C76" s="12">
        <v>1</v>
      </c>
      <c r="D76" s="8">
        <v>1</v>
      </c>
      <c r="E76" s="12">
        <v>0</v>
      </c>
      <c r="F76" s="8">
        <v>0</v>
      </c>
      <c r="G76" s="12">
        <v>1</v>
      </c>
      <c r="H76" s="8">
        <v>2.38</v>
      </c>
      <c r="I76" s="12">
        <v>0</v>
      </c>
    </row>
    <row r="77" spans="2:9" ht="15" customHeight="1" x14ac:dyDescent="0.2">
      <c r="B77" t="s">
        <v>162</v>
      </c>
      <c r="C77" s="12">
        <v>1</v>
      </c>
      <c r="D77" s="8">
        <v>1</v>
      </c>
      <c r="E77" s="12">
        <v>0</v>
      </c>
      <c r="F77" s="8">
        <v>0</v>
      </c>
      <c r="G77" s="12">
        <v>1</v>
      </c>
      <c r="H77" s="8">
        <v>2.38</v>
      </c>
      <c r="I77" s="12">
        <v>0</v>
      </c>
    </row>
    <row r="78" spans="2:9" ht="15" customHeight="1" x14ac:dyDescent="0.2">
      <c r="B78" t="s">
        <v>138</v>
      </c>
      <c r="C78" s="12">
        <v>1</v>
      </c>
      <c r="D78" s="8">
        <v>1</v>
      </c>
      <c r="E78" s="12">
        <v>1</v>
      </c>
      <c r="F78" s="8">
        <v>1.79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163</v>
      </c>
      <c r="C79" s="12">
        <v>1</v>
      </c>
      <c r="D79" s="8">
        <v>1</v>
      </c>
      <c r="E79" s="12">
        <v>1</v>
      </c>
      <c r="F79" s="8">
        <v>1.79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191</v>
      </c>
      <c r="C80" s="12">
        <v>1</v>
      </c>
      <c r="D80" s="8">
        <v>1</v>
      </c>
      <c r="E80" s="12">
        <v>1</v>
      </c>
      <c r="F80" s="8">
        <v>1.79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192</v>
      </c>
      <c r="C81" s="12">
        <v>1</v>
      </c>
      <c r="D81" s="8">
        <v>1</v>
      </c>
      <c r="E81" s="12">
        <v>0</v>
      </c>
      <c r="F81" s="8">
        <v>0</v>
      </c>
      <c r="G81" s="12">
        <v>1</v>
      </c>
      <c r="H81" s="8">
        <v>2.38</v>
      </c>
      <c r="I81" s="12">
        <v>0</v>
      </c>
    </row>
    <row r="82" spans="2:9" ht="15" customHeight="1" x14ac:dyDescent="0.2">
      <c r="B82" t="s">
        <v>193</v>
      </c>
      <c r="C82" s="12">
        <v>1</v>
      </c>
      <c r="D82" s="8">
        <v>1</v>
      </c>
      <c r="E82" s="12">
        <v>0</v>
      </c>
      <c r="F82" s="8">
        <v>0</v>
      </c>
      <c r="G82" s="12">
        <v>1</v>
      </c>
      <c r="H82" s="8">
        <v>2.38</v>
      </c>
      <c r="I82" s="12">
        <v>0</v>
      </c>
    </row>
    <row r="83" spans="2:9" ht="15" customHeight="1" x14ac:dyDescent="0.2">
      <c r="B83" t="s">
        <v>194</v>
      </c>
      <c r="C83" s="12">
        <v>1</v>
      </c>
      <c r="D83" s="8">
        <v>1</v>
      </c>
      <c r="E83" s="12">
        <v>0</v>
      </c>
      <c r="F83" s="8">
        <v>0</v>
      </c>
      <c r="G83" s="12">
        <v>1</v>
      </c>
      <c r="H83" s="8">
        <v>2.38</v>
      </c>
      <c r="I83" s="12">
        <v>0</v>
      </c>
    </row>
    <row r="84" spans="2:9" ht="15" customHeight="1" x14ac:dyDescent="0.2">
      <c r="B84" t="s">
        <v>195</v>
      </c>
      <c r="C84" s="12">
        <v>1</v>
      </c>
      <c r="D84" s="8">
        <v>1</v>
      </c>
      <c r="E84" s="12">
        <v>0</v>
      </c>
      <c r="F84" s="8">
        <v>0</v>
      </c>
      <c r="G84" s="12">
        <v>1</v>
      </c>
      <c r="H84" s="8">
        <v>2.38</v>
      </c>
      <c r="I84" s="12">
        <v>0</v>
      </c>
    </row>
    <row r="85" spans="2:9" ht="15" customHeight="1" x14ac:dyDescent="0.2">
      <c r="B85" t="s">
        <v>196</v>
      </c>
      <c r="C85" s="12">
        <v>1</v>
      </c>
      <c r="D85" s="8">
        <v>1</v>
      </c>
      <c r="E85" s="12">
        <v>0</v>
      </c>
      <c r="F85" s="8">
        <v>0</v>
      </c>
      <c r="G85" s="12">
        <v>1</v>
      </c>
      <c r="H85" s="8">
        <v>2.38</v>
      </c>
      <c r="I85" s="12">
        <v>0</v>
      </c>
    </row>
    <row r="86" spans="2:9" ht="15" customHeight="1" x14ac:dyDescent="0.2">
      <c r="B86" t="s">
        <v>197</v>
      </c>
      <c r="C86" s="12">
        <v>1</v>
      </c>
      <c r="D86" s="8">
        <v>1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198</v>
      </c>
      <c r="C87" s="12">
        <v>1</v>
      </c>
      <c r="D87" s="8">
        <v>1</v>
      </c>
      <c r="E87" s="12">
        <v>0</v>
      </c>
      <c r="F87" s="8">
        <v>0</v>
      </c>
      <c r="G87" s="12">
        <v>1</v>
      </c>
      <c r="H87" s="8">
        <v>2.38</v>
      </c>
      <c r="I87" s="12">
        <v>0</v>
      </c>
    </row>
    <row r="88" spans="2:9" ht="15" customHeight="1" x14ac:dyDescent="0.2">
      <c r="B88" t="s">
        <v>199</v>
      </c>
      <c r="C88" s="12">
        <v>1</v>
      </c>
      <c r="D88" s="8">
        <v>1</v>
      </c>
      <c r="E88" s="12">
        <v>0</v>
      </c>
      <c r="F88" s="8">
        <v>0</v>
      </c>
      <c r="G88" s="12">
        <v>1</v>
      </c>
      <c r="H88" s="8">
        <v>2.38</v>
      </c>
      <c r="I88" s="12">
        <v>0</v>
      </c>
    </row>
    <row r="89" spans="2:9" ht="15" customHeight="1" x14ac:dyDescent="0.2">
      <c r="B89" t="s">
        <v>164</v>
      </c>
      <c r="C89" s="12">
        <v>1</v>
      </c>
      <c r="D89" s="8">
        <v>1</v>
      </c>
      <c r="E89" s="12">
        <v>0</v>
      </c>
      <c r="F89" s="8">
        <v>0</v>
      </c>
      <c r="G89" s="12">
        <v>1</v>
      </c>
      <c r="H89" s="8">
        <v>2.38</v>
      </c>
      <c r="I89" s="12">
        <v>0</v>
      </c>
    </row>
    <row r="90" spans="2:9" ht="15" customHeight="1" x14ac:dyDescent="0.2">
      <c r="B90" t="s">
        <v>165</v>
      </c>
      <c r="C90" s="12">
        <v>1</v>
      </c>
      <c r="D90" s="8">
        <v>1</v>
      </c>
      <c r="E90" s="12">
        <v>0</v>
      </c>
      <c r="F90" s="8">
        <v>0</v>
      </c>
      <c r="G90" s="12">
        <v>1</v>
      </c>
      <c r="H90" s="8">
        <v>2.38</v>
      </c>
      <c r="I90" s="12">
        <v>0</v>
      </c>
    </row>
    <row r="91" spans="2:9" ht="15" customHeight="1" x14ac:dyDescent="0.2">
      <c r="B91" t="s">
        <v>200</v>
      </c>
      <c r="C91" s="12">
        <v>1</v>
      </c>
      <c r="D91" s="8">
        <v>1</v>
      </c>
      <c r="E91" s="12">
        <v>1</v>
      </c>
      <c r="F91" s="8">
        <v>1.79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201</v>
      </c>
      <c r="C92" s="12">
        <v>1</v>
      </c>
      <c r="D92" s="8">
        <v>1</v>
      </c>
      <c r="E92" s="12">
        <v>1</v>
      </c>
      <c r="F92" s="8">
        <v>1.79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174</v>
      </c>
      <c r="C93" s="12">
        <v>1</v>
      </c>
      <c r="D93" s="8">
        <v>1</v>
      </c>
      <c r="E93" s="12">
        <v>1</v>
      </c>
      <c r="F93" s="8">
        <v>1.79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167</v>
      </c>
      <c r="C94" s="12">
        <v>1</v>
      </c>
      <c r="D94" s="8">
        <v>1</v>
      </c>
      <c r="E94" s="12">
        <v>0</v>
      </c>
      <c r="F94" s="8">
        <v>0</v>
      </c>
      <c r="G94" s="12">
        <v>1</v>
      </c>
      <c r="H94" s="8">
        <v>2.38</v>
      </c>
      <c r="I94" s="12">
        <v>0</v>
      </c>
    </row>
    <row r="95" spans="2:9" ht="15" customHeight="1" x14ac:dyDescent="0.2">
      <c r="B95" t="s">
        <v>202</v>
      </c>
      <c r="C95" s="12">
        <v>1</v>
      </c>
      <c r="D95" s="8">
        <v>1</v>
      </c>
      <c r="E95" s="12">
        <v>1</v>
      </c>
      <c r="F95" s="8">
        <v>1.79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203</v>
      </c>
      <c r="C96" s="12">
        <v>1</v>
      </c>
      <c r="D96" s="8">
        <v>1</v>
      </c>
      <c r="E96" s="12">
        <v>0</v>
      </c>
      <c r="F96" s="8">
        <v>0</v>
      </c>
      <c r="G96" s="12">
        <v>1</v>
      </c>
      <c r="H96" s="8">
        <v>2.38</v>
      </c>
      <c r="I96" s="12">
        <v>0</v>
      </c>
    </row>
    <row r="97" spans="2:9" ht="15" customHeight="1" x14ac:dyDescent="0.2">
      <c r="B97" t="s">
        <v>204</v>
      </c>
      <c r="C97" s="12">
        <v>1</v>
      </c>
      <c r="D97" s="8">
        <v>1</v>
      </c>
      <c r="E97" s="12">
        <v>0</v>
      </c>
      <c r="F97" s="8">
        <v>0</v>
      </c>
      <c r="G97" s="12">
        <v>1</v>
      </c>
      <c r="H97" s="8">
        <v>2.38</v>
      </c>
      <c r="I97" s="12">
        <v>0</v>
      </c>
    </row>
    <row r="98" spans="2:9" ht="15" customHeight="1" x14ac:dyDescent="0.2">
      <c r="B98" t="s">
        <v>143</v>
      </c>
      <c r="C98" s="12">
        <v>1</v>
      </c>
      <c r="D98" s="8">
        <v>1</v>
      </c>
      <c r="E98" s="12">
        <v>1</v>
      </c>
      <c r="F98" s="8">
        <v>1.79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155</v>
      </c>
      <c r="C99" s="12">
        <v>1</v>
      </c>
      <c r="D99" s="8">
        <v>1</v>
      </c>
      <c r="E99" s="12">
        <v>0</v>
      </c>
      <c r="F99" s="8">
        <v>0</v>
      </c>
      <c r="G99" s="12">
        <v>1</v>
      </c>
      <c r="H99" s="8">
        <v>2.38</v>
      </c>
      <c r="I99" s="12">
        <v>0</v>
      </c>
    </row>
    <row r="100" spans="2:9" ht="15" customHeight="1" x14ac:dyDescent="0.2">
      <c r="B100" t="s">
        <v>206</v>
      </c>
      <c r="C100" s="12">
        <v>1</v>
      </c>
      <c r="D100" s="8">
        <v>1</v>
      </c>
      <c r="E100" s="12">
        <v>0</v>
      </c>
      <c r="F100" s="8">
        <v>0</v>
      </c>
      <c r="G100" s="12">
        <v>1</v>
      </c>
      <c r="H100" s="8">
        <v>2.38</v>
      </c>
      <c r="I100" s="12">
        <v>0</v>
      </c>
    </row>
    <row r="101" spans="2:9" ht="15" customHeight="1" x14ac:dyDescent="0.2">
      <c r="B101" t="s">
        <v>207</v>
      </c>
      <c r="C101" s="12">
        <v>1</v>
      </c>
      <c r="D101" s="8">
        <v>1</v>
      </c>
      <c r="E101" s="12">
        <v>1</v>
      </c>
      <c r="F101" s="8">
        <v>1.79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208</v>
      </c>
      <c r="C102" s="12">
        <v>1</v>
      </c>
      <c r="D102" s="8">
        <v>1</v>
      </c>
      <c r="E102" s="12">
        <v>1</v>
      </c>
      <c r="F102" s="8">
        <v>1.79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146</v>
      </c>
      <c r="C103" s="12">
        <v>1</v>
      </c>
      <c r="D103" s="8">
        <v>1</v>
      </c>
      <c r="E103" s="12">
        <v>0</v>
      </c>
      <c r="F103" s="8">
        <v>0</v>
      </c>
      <c r="G103" s="12">
        <v>1</v>
      </c>
      <c r="H103" s="8">
        <v>2.38</v>
      </c>
      <c r="I103" s="12">
        <v>0</v>
      </c>
    </row>
    <row r="104" spans="2:9" ht="15" customHeight="1" x14ac:dyDescent="0.2">
      <c r="B104" t="s">
        <v>170</v>
      </c>
      <c r="C104" s="12">
        <v>1</v>
      </c>
      <c r="D104" s="8">
        <v>1</v>
      </c>
      <c r="E104" s="12">
        <v>1</v>
      </c>
      <c r="F104" s="8">
        <v>1.79</v>
      </c>
      <c r="G104" s="12">
        <v>0</v>
      </c>
      <c r="H104" s="8">
        <v>0</v>
      </c>
      <c r="I104" s="12">
        <v>0</v>
      </c>
    </row>
    <row r="105" spans="2:9" ht="15" customHeight="1" x14ac:dyDescent="0.2">
      <c r="B105" t="s">
        <v>147</v>
      </c>
      <c r="C105" s="12">
        <v>1</v>
      </c>
      <c r="D105" s="8">
        <v>1</v>
      </c>
      <c r="E105" s="12">
        <v>1</v>
      </c>
      <c r="F105" s="8">
        <v>1.79</v>
      </c>
      <c r="G105" s="12">
        <v>0</v>
      </c>
      <c r="H105" s="8">
        <v>0</v>
      </c>
      <c r="I105" s="12">
        <v>0</v>
      </c>
    </row>
    <row r="106" spans="2:9" ht="15" customHeight="1" x14ac:dyDescent="0.2">
      <c r="B106" t="s">
        <v>209</v>
      </c>
      <c r="C106" s="12">
        <v>1</v>
      </c>
      <c r="D106" s="8">
        <v>1</v>
      </c>
      <c r="E106" s="12">
        <v>1</v>
      </c>
      <c r="F106" s="8">
        <v>1.79</v>
      </c>
      <c r="G106" s="12">
        <v>0</v>
      </c>
      <c r="H106" s="8">
        <v>0</v>
      </c>
      <c r="I106" s="12">
        <v>0</v>
      </c>
    </row>
    <row r="107" spans="2:9" ht="15" customHeight="1" x14ac:dyDescent="0.2">
      <c r="B107" t="s">
        <v>148</v>
      </c>
      <c r="C107" s="12">
        <v>1</v>
      </c>
      <c r="D107" s="8">
        <v>1</v>
      </c>
      <c r="E107" s="12">
        <v>1</v>
      </c>
      <c r="F107" s="8">
        <v>1.79</v>
      </c>
      <c r="G107" s="12">
        <v>0</v>
      </c>
      <c r="H107" s="8">
        <v>0</v>
      </c>
      <c r="I107" s="12">
        <v>0</v>
      </c>
    </row>
    <row r="108" spans="2:9" ht="15" customHeight="1" x14ac:dyDescent="0.2">
      <c r="B108" t="s">
        <v>160</v>
      </c>
      <c r="C108" s="12">
        <v>1</v>
      </c>
      <c r="D108" s="8">
        <v>1</v>
      </c>
      <c r="E108" s="12">
        <v>1</v>
      </c>
      <c r="F108" s="8">
        <v>1.79</v>
      </c>
      <c r="G108" s="12">
        <v>0</v>
      </c>
      <c r="H108" s="8">
        <v>0</v>
      </c>
      <c r="I108" s="12">
        <v>0</v>
      </c>
    </row>
    <row r="109" spans="2:9" ht="15" customHeight="1" x14ac:dyDescent="0.2">
      <c r="B109" t="s">
        <v>172</v>
      </c>
      <c r="C109" s="12">
        <v>1</v>
      </c>
      <c r="D109" s="8">
        <v>1</v>
      </c>
      <c r="E109" s="12">
        <v>1</v>
      </c>
      <c r="F109" s="8">
        <v>1.79</v>
      </c>
      <c r="G109" s="12">
        <v>0</v>
      </c>
      <c r="H109" s="8">
        <v>0</v>
      </c>
      <c r="I109" s="12">
        <v>0</v>
      </c>
    </row>
    <row r="110" spans="2:9" ht="15" customHeight="1" x14ac:dyDescent="0.2">
      <c r="B110" t="s">
        <v>152</v>
      </c>
      <c r="C110" s="12">
        <v>1</v>
      </c>
      <c r="D110" s="8">
        <v>1</v>
      </c>
      <c r="E110" s="12">
        <v>1</v>
      </c>
      <c r="F110" s="8">
        <v>1.79</v>
      </c>
      <c r="G110" s="12">
        <v>0</v>
      </c>
      <c r="H110" s="8">
        <v>0</v>
      </c>
      <c r="I110" s="12">
        <v>0</v>
      </c>
    </row>
    <row r="111" spans="2:9" ht="15" customHeight="1" x14ac:dyDescent="0.2">
      <c r="B111" t="s">
        <v>211</v>
      </c>
      <c r="C111" s="12">
        <v>1</v>
      </c>
      <c r="D111" s="8">
        <v>1</v>
      </c>
      <c r="E111" s="12">
        <v>0</v>
      </c>
      <c r="F111" s="8">
        <v>0</v>
      </c>
      <c r="G111" s="12">
        <v>1</v>
      </c>
      <c r="H111" s="8">
        <v>2.38</v>
      </c>
      <c r="I111" s="12">
        <v>0</v>
      </c>
    </row>
    <row r="113" spans="2:2" ht="15" customHeight="1" x14ac:dyDescent="0.2">
      <c r="B113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1D2F-5737-4ED8-ACDB-E2008F9E5A81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43</v>
      </c>
      <c r="D6" s="8">
        <v>18.3</v>
      </c>
      <c r="E6" s="12">
        <v>22</v>
      </c>
      <c r="F6" s="8">
        <v>16.059999999999999</v>
      </c>
      <c r="G6" s="12">
        <v>21</v>
      </c>
      <c r="H6" s="8">
        <v>22.58</v>
      </c>
      <c r="I6" s="12">
        <v>0</v>
      </c>
    </row>
    <row r="7" spans="2:9" ht="15" customHeight="1" x14ac:dyDescent="0.2">
      <c r="B7" t="s">
        <v>53</v>
      </c>
      <c r="C7" s="12">
        <v>39</v>
      </c>
      <c r="D7" s="8">
        <v>16.600000000000001</v>
      </c>
      <c r="E7" s="12">
        <v>16</v>
      </c>
      <c r="F7" s="8">
        <v>11.68</v>
      </c>
      <c r="G7" s="12">
        <v>23</v>
      </c>
      <c r="H7" s="8">
        <v>24.73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1.28</v>
      </c>
      <c r="E8" s="12">
        <v>0</v>
      </c>
      <c r="F8" s="8">
        <v>0</v>
      </c>
      <c r="G8" s="12">
        <v>3</v>
      </c>
      <c r="H8" s="8">
        <v>3.23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0.43</v>
      </c>
      <c r="E9" s="12">
        <v>0</v>
      </c>
      <c r="F9" s="8">
        <v>0</v>
      </c>
      <c r="G9" s="12">
        <v>1</v>
      </c>
      <c r="H9" s="8">
        <v>1.08</v>
      </c>
      <c r="I9" s="12">
        <v>0</v>
      </c>
    </row>
    <row r="10" spans="2:9" ht="15" customHeight="1" x14ac:dyDescent="0.2">
      <c r="B10" t="s">
        <v>56</v>
      </c>
      <c r="C10" s="12">
        <v>2</v>
      </c>
      <c r="D10" s="8">
        <v>0.85</v>
      </c>
      <c r="E10" s="12">
        <v>1</v>
      </c>
      <c r="F10" s="8">
        <v>0.73</v>
      </c>
      <c r="G10" s="12">
        <v>1</v>
      </c>
      <c r="H10" s="8">
        <v>1.08</v>
      </c>
      <c r="I10" s="12">
        <v>0</v>
      </c>
    </row>
    <row r="11" spans="2:9" ht="15" customHeight="1" x14ac:dyDescent="0.2">
      <c r="B11" t="s">
        <v>57</v>
      </c>
      <c r="C11" s="12">
        <v>75</v>
      </c>
      <c r="D11" s="8">
        <v>31.91</v>
      </c>
      <c r="E11" s="12">
        <v>45</v>
      </c>
      <c r="F11" s="8">
        <v>32.85</v>
      </c>
      <c r="G11" s="12">
        <v>29</v>
      </c>
      <c r="H11" s="8">
        <v>31.18</v>
      </c>
      <c r="I11" s="12">
        <v>1</v>
      </c>
    </row>
    <row r="12" spans="2:9" ht="15" customHeight="1" x14ac:dyDescent="0.2">
      <c r="B12" t="s">
        <v>58</v>
      </c>
      <c r="C12" s="12">
        <v>1</v>
      </c>
      <c r="D12" s="8">
        <v>0.43</v>
      </c>
      <c r="E12" s="12">
        <v>1</v>
      </c>
      <c r="F12" s="8">
        <v>0.73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4</v>
      </c>
      <c r="D13" s="8">
        <v>1.7</v>
      </c>
      <c r="E13" s="12">
        <v>3</v>
      </c>
      <c r="F13" s="8">
        <v>2.19</v>
      </c>
      <c r="G13" s="12">
        <v>1</v>
      </c>
      <c r="H13" s="8">
        <v>1.08</v>
      </c>
      <c r="I13" s="12">
        <v>0</v>
      </c>
    </row>
    <row r="14" spans="2:9" ht="15" customHeight="1" x14ac:dyDescent="0.2">
      <c r="B14" t="s">
        <v>60</v>
      </c>
      <c r="C14" s="12">
        <v>5</v>
      </c>
      <c r="D14" s="8">
        <v>2.13</v>
      </c>
      <c r="E14" s="12">
        <v>3</v>
      </c>
      <c r="F14" s="8">
        <v>2.19</v>
      </c>
      <c r="G14" s="12">
        <v>2</v>
      </c>
      <c r="H14" s="8">
        <v>2.15</v>
      </c>
      <c r="I14" s="12">
        <v>0</v>
      </c>
    </row>
    <row r="15" spans="2:9" ht="15" customHeight="1" x14ac:dyDescent="0.2">
      <c r="B15" t="s">
        <v>61</v>
      </c>
      <c r="C15" s="12">
        <v>15</v>
      </c>
      <c r="D15" s="8">
        <v>6.38</v>
      </c>
      <c r="E15" s="12">
        <v>12</v>
      </c>
      <c r="F15" s="8">
        <v>8.76</v>
      </c>
      <c r="G15" s="12">
        <v>3</v>
      </c>
      <c r="H15" s="8">
        <v>3.23</v>
      </c>
      <c r="I15" s="12">
        <v>0</v>
      </c>
    </row>
    <row r="16" spans="2:9" ht="15" customHeight="1" x14ac:dyDescent="0.2">
      <c r="B16" t="s">
        <v>62</v>
      </c>
      <c r="C16" s="12">
        <v>21</v>
      </c>
      <c r="D16" s="8">
        <v>8.94</v>
      </c>
      <c r="E16" s="12">
        <v>16</v>
      </c>
      <c r="F16" s="8">
        <v>11.68</v>
      </c>
      <c r="G16" s="12">
        <v>4</v>
      </c>
      <c r="H16" s="8">
        <v>4.3</v>
      </c>
      <c r="I16" s="12">
        <v>0</v>
      </c>
    </row>
    <row r="17" spans="2:9" ht="15" customHeight="1" x14ac:dyDescent="0.2">
      <c r="B17" t="s">
        <v>63</v>
      </c>
      <c r="C17" s="12">
        <v>5</v>
      </c>
      <c r="D17" s="8">
        <v>2.13</v>
      </c>
      <c r="E17" s="12">
        <v>4</v>
      </c>
      <c r="F17" s="8">
        <v>2.92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9</v>
      </c>
      <c r="D18" s="8">
        <v>3.83</v>
      </c>
      <c r="E18" s="12">
        <v>8</v>
      </c>
      <c r="F18" s="8">
        <v>5.84</v>
      </c>
      <c r="G18" s="12">
        <v>1</v>
      </c>
      <c r="H18" s="8">
        <v>1.08</v>
      </c>
      <c r="I18" s="12">
        <v>0</v>
      </c>
    </row>
    <row r="19" spans="2:9" ht="15" customHeight="1" x14ac:dyDescent="0.2">
      <c r="B19" t="s">
        <v>65</v>
      </c>
      <c r="C19" s="12">
        <v>12</v>
      </c>
      <c r="D19" s="8">
        <v>5.1100000000000003</v>
      </c>
      <c r="E19" s="12">
        <v>6</v>
      </c>
      <c r="F19" s="8">
        <v>4.38</v>
      </c>
      <c r="G19" s="12">
        <v>4</v>
      </c>
      <c r="H19" s="8">
        <v>4.3</v>
      </c>
      <c r="I19" s="12">
        <v>1</v>
      </c>
    </row>
    <row r="20" spans="2:9" ht="15" customHeight="1" x14ac:dyDescent="0.2">
      <c r="B20" s="9" t="s">
        <v>281</v>
      </c>
      <c r="C20" s="12">
        <f>SUM(LTBL_43367[総数／事業所数])</f>
        <v>235</v>
      </c>
      <c r="E20" s="12">
        <f>SUBTOTAL(109,LTBL_43367[個人／事業所数])</f>
        <v>137</v>
      </c>
      <c r="G20" s="12">
        <f>SUBTOTAL(109,LTBL_43367[法人／事業所数])</f>
        <v>93</v>
      </c>
      <c r="I20" s="12">
        <f>SUBTOTAL(109,LTBL_43367[法人以外の団体／事業所数])</f>
        <v>2</v>
      </c>
    </row>
    <row r="21" spans="2:9" ht="15" customHeight="1" x14ac:dyDescent="0.2">
      <c r="E21" s="11">
        <f>LTBL_43367[[#Totals],[個人／事業所数]]/LTBL_43367[[#Totals],[総数／事業所数]]</f>
        <v>0.58297872340425527</v>
      </c>
      <c r="G21" s="11">
        <f>LTBL_43367[[#Totals],[法人／事業所数]]/LTBL_43367[[#Totals],[総数／事業所数]]</f>
        <v>0.39574468085106385</v>
      </c>
      <c r="I21" s="11">
        <f>LTBL_43367[[#Totals],[法人以外の団体／事業所数]]/LTBL_43367[[#Totals],[総数／事業所数]]</f>
        <v>8.5106382978723406E-3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83</v>
      </c>
      <c r="C24" s="12">
        <v>26</v>
      </c>
      <c r="D24" s="8">
        <v>11.06</v>
      </c>
      <c r="E24" s="12">
        <v>15</v>
      </c>
      <c r="F24" s="8">
        <v>10.95</v>
      </c>
      <c r="G24" s="12">
        <v>11</v>
      </c>
      <c r="H24" s="8">
        <v>11.83</v>
      </c>
      <c r="I24" s="12">
        <v>0</v>
      </c>
    </row>
    <row r="25" spans="2:9" ht="15" customHeight="1" x14ac:dyDescent="0.2">
      <c r="B25" t="s">
        <v>74</v>
      </c>
      <c r="C25" s="12">
        <v>21</v>
      </c>
      <c r="D25" s="8">
        <v>8.94</v>
      </c>
      <c r="E25" s="12">
        <v>7</v>
      </c>
      <c r="F25" s="8">
        <v>5.1100000000000003</v>
      </c>
      <c r="G25" s="12">
        <v>14</v>
      </c>
      <c r="H25" s="8">
        <v>15.05</v>
      </c>
      <c r="I25" s="12">
        <v>0</v>
      </c>
    </row>
    <row r="26" spans="2:9" ht="15" customHeight="1" x14ac:dyDescent="0.2">
      <c r="B26" t="s">
        <v>81</v>
      </c>
      <c r="C26" s="12">
        <v>21</v>
      </c>
      <c r="D26" s="8">
        <v>8.94</v>
      </c>
      <c r="E26" s="12">
        <v>15</v>
      </c>
      <c r="F26" s="8">
        <v>10.95</v>
      </c>
      <c r="G26" s="12">
        <v>5</v>
      </c>
      <c r="H26" s="8">
        <v>5.38</v>
      </c>
      <c r="I26" s="12">
        <v>1</v>
      </c>
    </row>
    <row r="27" spans="2:9" ht="15" customHeight="1" x14ac:dyDescent="0.2">
      <c r="B27" t="s">
        <v>75</v>
      </c>
      <c r="C27" s="12">
        <v>16</v>
      </c>
      <c r="D27" s="8">
        <v>6.81</v>
      </c>
      <c r="E27" s="12">
        <v>13</v>
      </c>
      <c r="F27" s="8">
        <v>9.49</v>
      </c>
      <c r="G27" s="12">
        <v>3</v>
      </c>
      <c r="H27" s="8">
        <v>3.23</v>
      </c>
      <c r="I27" s="12">
        <v>0</v>
      </c>
    </row>
    <row r="28" spans="2:9" ht="15" customHeight="1" x14ac:dyDescent="0.2">
      <c r="B28" t="s">
        <v>89</v>
      </c>
      <c r="C28" s="12">
        <v>15</v>
      </c>
      <c r="D28" s="8">
        <v>6.38</v>
      </c>
      <c r="E28" s="12">
        <v>14</v>
      </c>
      <c r="F28" s="8">
        <v>10.220000000000001</v>
      </c>
      <c r="G28" s="12">
        <v>1</v>
      </c>
      <c r="H28" s="8">
        <v>1.08</v>
      </c>
      <c r="I28" s="12">
        <v>0</v>
      </c>
    </row>
    <row r="29" spans="2:9" ht="15" customHeight="1" x14ac:dyDescent="0.2">
      <c r="B29" t="s">
        <v>88</v>
      </c>
      <c r="C29" s="12">
        <v>12</v>
      </c>
      <c r="D29" s="8">
        <v>5.1100000000000003</v>
      </c>
      <c r="E29" s="12">
        <v>11</v>
      </c>
      <c r="F29" s="8">
        <v>8.0299999999999994</v>
      </c>
      <c r="G29" s="12">
        <v>1</v>
      </c>
      <c r="H29" s="8">
        <v>1.08</v>
      </c>
      <c r="I29" s="12">
        <v>0</v>
      </c>
    </row>
    <row r="30" spans="2:9" ht="15" customHeight="1" x14ac:dyDescent="0.2">
      <c r="B30" t="s">
        <v>82</v>
      </c>
      <c r="C30" s="12">
        <v>11</v>
      </c>
      <c r="D30" s="8">
        <v>4.68</v>
      </c>
      <c r="E30" s="12">
        <v>11</v>
      </c>
      <c r="F30" s="8">
        <v>8.0299999999999994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91</v>
      </c>
      <c r="C31" s="12">
        <v>9</v>
      </c>
      <c r="D31" s="8">
        <v>3.83</v>
      </c>
      <c r="E31" s="12">
        <v>8</v>
      </c>
      <c r="F31" s="8">
        <v>5.84</v>
      </c>
      <c r="G31" s="12">
        <v>1</v>
      </c>
      <c r="H31" s="8">
        <v>1.08</v>
      </c>
      <c r="I31" s="12">
        <v>0</v>
      </c>
    </row>
    <row r="32" spans="2:9" ht="15" customHeight="1" x14ac:dyDescent="0.2">
      <c r="B32" t="s">
        <v>77</v>
      </c>
      <c r="C32" s="12">
        <v>8</v>
      </c>
      <c r="D32" s="8">
        <v>3.4</v>
      </c>
      <c r="E32" s="12">
        <v>7</v>
      </c>
      <c r="F32" s="8">
        <v>5.1100000000000003</v>
      </c>
      <c r="G32" s="12">
        <v>1</v>
      </c>
      <c r="H32" s="8">
        <v>1.08</v>
      </c>
      <c r="I32" s="12">
        <v>0</v>
      </c>
    </row>
    <row r="33" spans="2:9" ht="15" customHeight="1" x14ac:dyDescent="0.2">
      <c r="B33" t="s">
        <v>111</v>
      </c>
      <c r="C33" s="12">
        <v>7</v>
      </c>
      <c r="D33" s="8">
        <v>2.98</v>
      </c>
      <c r="E33" s="12">
        <v>3</v>
      </c>
      <c r="F33" s="8">
        <v>2.19</v>
      </c>
      <c r="G33" s="12">
        <v>4</v>
      </c>
      <c r="H33" s="8">
        <v>4.3</v>
      </c>
      <c r="I33" s="12">
        <v>0</v>
      </c>
    </row>
    <row r="34" spans="2:9" ht="15" customHeight="1" x14ac:dyDescent="0.2">
      <c r="B34" t="s">
        <v>76</v>
      </c>
      <c r="C34" s="12">
        <v>6</v>
      </c>
      <c r="D34" s="8">
        <v>2.5499999999999998</v>
      </c>
      <c r="E34" s="12">
        <v>2</v>
      </c>
      <c r="F34" s="8">
        <v>1.46</v>
      </c>
      <c r="G34" s="12">
        <v>4</v>
      </c>
      <c r="H34" s="8">
        <v>4.3</v>
      </c>
      <c r="I34" s="12">
        <v>0</v>
      </c>
    </row>
    <row r="35" spans="2:9" ht="15" customHeight="1" x14ac:dyDescent="0.2">
      <c r="B35" t="s">
        <v>119</v>
      </c>
      <c r="C35" s="12">
        <v>6</v>
      </c>
      <c r="D35" s="8">
        <v>2.5499999999999998</v>
      </c>
      <c r="E35" s="12">
        <v>0</v>
      </c>
      <c r="F35" s="8">
        <v>0</v>
      </c>
      <c r="G35" s="12">
        <v>6</v>
      </c>
      <c r="H35" s="8">
        <v>6.45</v>
      </c>
      <c r="I35" s="12">
        <v>0</v>
      </c>
    </row>
    <row r="36" spans="2:9" ht="15" customHeight="1" x14ac:dyDescent="0.2">
      <c r="B36" t="s">
        <v>99</v>
      </c>
      <c r="C36" s="12">
        <v>6</v>
      </c>
      <c r="D36" s="8">
        <v>2.5499999999999998</v>
      </c>
      <c r="E36" s="12">
        <v>2</v>
      </c>
      <c r="F36" s="8">
        <v>1.46</v>
      </c>
      <c r="G36" s="12">
        <v>4</v>
      </c>
      <c r="H36" s="8">
        <v>4.3</v>
      </c>
      <c r="I36" s="12">
        <v>0</v>
      </c>
    </row>
    <row r="37" spans="2:9" ht="15" customHeight="1" x14ac:dyDescent="0.2">
      <c r="B37" t="s">
        <v>93</v>
      </c>
      <c r="C37" s="12">
        <v>6</v>
      </c>
      <c r="D37" s="8">
        <v>2.5499999999999998</v>
      </c>
      <c r="E37" s="12">
        <v>5</v>
      </c>
      <c r="F37" s="8">
        <v>3.65</v>
      </c>
      <c r="G37" s="12">
        <v>1</v>
      </c>
      <c r="H37" s="8">
        <v>1.08</v>
      </c>
      <c r="I37" s="12">
        <v>0</v>
      </c>
    </row>
    <row r="38" spans="2:9" ht="15" customHeight="1" x14ac:dyDescent="0.2">
      <c r="B38" t="s">
        <v>102</v>
      </c>
      <c r="C38" s="12">
        <v>5</v>
      </c>
      <c r="D38" s="8">
        <v>2.13</v>
      </c>
      <c r="E38" s="12">
        <v>3</v>
      </c>
      <c r="F38" s="8">
        <v>2.19</v>
      </c>
      <c r="G38" s="12">
        <v>2</v>
      </c>
      <c r="H38" s="8">
        <v>2.15</v>
      </c>
      <c r="I38" s="12">
        <v>0</v>
      </c>
    </row>
    <row r="39" spans="2:9" ht="15" customHeight="1" x14ac:dyDescent="0.2">
      <c r="B39" t="s">
        <v>90</v>
      </c>
      <c r="C39" s="12">
        <v>5</v>
      </c>
      <c r="D39" s="8">
        <v>2.13</v>
      </c>
      <c r="E39" s="12">
        <v>4</v>
      </c>
      <c r="F39" s="8">
        <v>2.92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80</v>
      </c>
      <c r="C40" s="12">
        <v>4</v>
      </c>
      <c r="D40" s="8">
        <v>1.7</v>
      </c>
      <c r="E40" s="12">
        <v>2</v>
      </c>
      <c r="F40" s="8">
        <v>1.46</v>
      </c>
      <c r="G40" s="12">
        <v>2</v>
      </c>
      <c r="H40" s="8">
        <v>2.15</v>
      </c>
      <c r="I40" s="12">
        <v>0</v>
      </c>
    </row>
    <row r="41" spans="2:9" ht="15" customHeight="1" x14ac:dyDescent="0.2">
      <c r="B41" t="s">
        <v>85</v>
      </c>
      <c r="C41" s="12">
        <v>4</v>
      </c>
      <c r="D41" s="8">
        <v>1.7</v>
      </c>
      <c r="E41" s="12">
        <v>3</v>
      </c>
      <c r="F41" s="8">
        <v>2.19</v>
      </c>
      <c r="G41" s="12">
        <v>1</v>
      </c>
      <c r="H41" s="8">
        <v>1.08</v>
      </c>
      <c r="I41" s="12">
        <v>0</v>
      </c>
    </row>
    <row r="42" spans="2:9" ht="15" customHeight="1" x14ac:dyDescent="0.2">
      <c r="B42" t="s">
        <v>97</v>
      </c>
      <c r="C42" s="12">
        <v>4</v>
      </c>
      <c r="D42" s="8">
        <v>1.7</v>
      </c>
      <c r="E42" s="12">
        <v>2</v>
      </c>
      <c r="F42" s="8">
        <v>1.46</v>
      </c>
      <c r="G42" s="12">
        <v>2</v>
      </c>
      <c r="H42" s="8">
        <v>2.15</v>
      </c>
      <c r="I42" s="12">
        <v>0</v>
      </c>
    </row>
    <row r="43" spans="2:9" ht="15" customHeight="1" x14ac:dyDescent="0.2">
      <c r="B43" t="s">
        <v>109</v>
      </c>
      <c r="C43" s="12">
        <v>3</v>
      </c>
      <c r="D43" s="8">
        <v>1.28</v>
      </c>
      <c r="E43" s="12">
        <v>0</v>
      </c>
      <c r="F43" s="8">
        <v>0</v>
      </c>
      <c r="G43" s="12">
        <v>3</v>
      </c>
      <c r="H43" s="8">
        <v>3.23</v>
      </c>
      <c r="I43" s="12">
        <v>0</v>
      </c>
    </row>
    <row r="44" spans="2:9" ht="15" customHeight="1" x14ac:dyDescent="0.2">
      <c r="B44" t="s">
        <v>112</v>
      </c>
      <c r="C44" s="12">
        <v>3</v>
      </c>
      <c r="D44" s="8">
        <v>1.28</v>
      </c>
      <c r="E44" s="12">
        <v>0</v>
      </c>
      <c r="F44" s="8">
        <v>0</v>
      </c>
      <c r="G44" s="12">
        <v>3</v>
      </c>
      <c r="H44" s="8">
        <v>3.23</v>
      </c>
      <c r="I44" s="12">
        <v>0</v>
      </c>
    </row>
    <row r="45" spans="2:9" ht="15" customHeight="1" x14ac:dyDescent="0.2">
      <c r="B45" t="s">
        <v>94</v>
      </c>
      <c r="C45" s="12">
        <v>3</v>
      </c>
      <c r="D45" s="8">
        <v>1.28</v>
      </c>
      <c r="E45" s="12">
        <v>0</v>
      </c>
      <c r="F45" s="8">
        <v>0</v>
      </c>
      <c r="G45" s="12">
        <v>3</v>
      </c>
      <c r="H45" s="8">
        <v>3.23</v>
      </c>
      <c r="I45" s="12">
        <v>0</v>
      </c>
    </row>
    <row r="46" spans="2:9" ht="15" customHeight="1" x14ac:dyDescent="0.2">
      <c r="B46" t="s">
        <v>87</v>
      </c>
      <c r="C46" s="12">
        <v>3</v>
      </c>
      <c r="D46" s="8">
        <v>1.28</v>
      </c>
      <c r="E46" s="12">
        <v>1</v>
      </c>
      <c r="F46" s="8">
        <v>0.73</v>
      </c>
      <c r="G46" s="12">
        <v>2</v>
      </c>
      <c r="H46" s="8">
        <v>2.15</v>
      </c>
      <c r="I46" s="12">
        <v>0</v>
      </c>
    </row>
    <row r="47" spans="2:9" ht="15" customHeight="1" x14ac:dyDescent="0.2">
      <c r="B47" t="s">
        <v>120</v>
      </c>
      <c r="C47" s="12">
        <v>3</v>
      </c>
      <c r="D47" s="8">
        <v>1.28</v>
      </c>
      <c r="E47" s="12">
        <v>0</v>
      </c>
      <c r="F47" s="8">
        <v>0</v>
      </c>
      <c r="G47" s="12">
        <v>2</v>
      </c>
      <c r="H47" s="8">
        <v>2.15</v>
      </c>
      <c r="I47" s="12">
        <v>1</v>
      </c>
    </row>
    <row r="50" spans="2:9" ht="33" customHeight="1" x14ac:dyDescent="0.2">
      <c r="B50" t="s">
        <v>283</v>
      </c>
      <c r="C50" s="10" t="s">
        <v>67</v>
      </c>
      <c r="D50" s="10" t="s">
        <v>68</v>
      </c>
      <c r="E50" s="10" t="s">
        <v>69</v>
      </c>
      <c r="F50" s="10" t="s">
        <v>70</v>
      </c>
      <c r="G50" s="10" t="s">
        <v>71</v>
      </c>
      <c r="H50" s="10" t="s">
        <v>72</v>
      </c>
      <c r="I50" s="10" t="s">
        <v>73</v>
      </c>
    </row>
    <row r="51" spans="2:9" ht="15" customHeight="1" x14ac:dyDescent="0.2">
      <c r="B51" t="s">
        <v>151</v>
      </c>
      <c r="C51" s="12">
        <v>11</v>
      </c>
      <c r="D51" s="8">
        <v>4.68</v>
      </c>
      <c r="E51" s="12">
        <v>11</v>
      </c>
      <c r="F51" s="8">
        <v>8.0299999999999994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140</v>
      </c>
      <c r="C52" s="12">
        <v>10</v>
      </c>
      <c r="D52" s="8">
        <v>4.26</v>
      </c>
      <c r="E52" s="12">
        <v>7</v>
      </c>
      <c r="F52" s="8">
        <v>5.1100000000000003</v>
      </c>
      <c r="G52" s="12">
        <v>2</v>
      </c>
      <c r="H52" s="8">
        <v>2.15</v>
      </c>
      <c r="I52" s="12">
        <v>1</v>
      </c>
    </row>
    <row r="53" spans="2:9" ht="15" customHeight="1" x14ac:dyDescent="0.2">
      <c r="B53" t="s">
        <v>135</v>
      </c>
      <c r="C53" s="12">
        <v>9</v>
      </c>
      <c r="D53" s="8">
        <v>3.83</v>
      </c>
      <c r="E53" s="12">
        <v>1</v>
      </c>
      <c r="F53" s="8">
        <v>0.73</v>
      </c>
      <c r="G53" s="12">
        <v>8</v>
      </c>
      <c r="H53" s="8">
        <v>8.6</v>
      </c>
      <c r="I53" s="12">
        <v>0</v>
      </c>
    </row>
    <row r="54" spans="2:9" ht="15" customHeight="1" x14ac:dyDescent="0.2">
      <c r="B54" t="s">
        <v>137</v>
      </c>
      <c r="C54" s="12">
        <v>8</v>
      </c>
      <c r="D54" s="8">
        <v>3.4</v>
      </c>
      <c r="E54" s="12">
        <v>4</v>
      </c>
      <c r="F54" s="8">
        <v>2.92</v>
      </c>
      <c r="G54" s="12">
        <v>4</v>
      </c>
      <c r="H54" s="8">
        <v>4.3</v>
      </c>
      <c r="I54" s="12">
        <v>0</v>
      </c>
    </row>
    <row r="55" spans="2:9" ht="15" customHeight="1" x14ac:dyDescent="0.2">
      <c r="B55" t="s">
        <v>213</v>
      </c>
      <c r="C55" s="12">
        <v>7</v>
      </c>
      <c r="D55" s="8">
        <v>2.98</v>
      </c>
      <c r="E55" s="12">
        <v>7</v>
      </c>
      <c r="F55" s="8">
        <v>5.1100000000000003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168</v>
      </c>
      <c r="C56" s="12">
        <v>7</v>
      </c>
      <c r="D56" s="8">
        <v>2.98</v>
      </c>
      <c r="E56" s="12">
        <v>1</v>
      </c>
      <c r="F56" s="8">
        <v>0.73</v>
      </c>
      <c r="G56" s="12">
        <v>6</v>
      </c>
      <c r="H56" s="8">
        <v>6.45</v>
      </c>
      <c r="I56" s="12">
        <v>0</v>
      </c>
    </row>
    <row r="57" spans="2:9" ht="15" customHeight="1" x14ac:dyDescent="0.2">
      <c r="B57" t="s">
        <v>153</v>
      </c>
      <c r="C57" s="12">
        <v>7</v>
      </c>
      <c r="D57" s="8">
        <v>2.98</v>
      </c>
      <c r="E57" s="12">
        <v>7</v>
      </c>
      <c r="F57" s="8">
        <v>5.1100000000000003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141</v>
      </c>
      <c r="C58" s="12">
        <v>6</v>
      </c>
      <c r="D58" s="8">
        <v>2.5499999999999998</v>
      </c>
      <c r="E58" s="12">
        <v>6</v>
      </c>
      <c r="F58" s="8">
        <v>4.38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154</v>
      </c>
      <c r="C59" s="12">
        <v>6</v>
      </c>
      <c r="D59" s="8">
        <v>2.5499999999999998</v>
      </c>
      <c r="E59" s="12">
        <v>5</v>
      </c>
      <c r="F59" s="8">
        <v>3.65</v>
      </c>
      <c r="G59" s="12">
        <v>1</v>
      </c>
      <c r="H59" s="8">
        <v>1.08</v>
      </c>
      <c r="I59" s="12">
        <v>0</v>
      </c>
    </row>
    <row r="60" spans="2:9" ht="15" customHeight="1" x14ac:dyDescent="0.2">
      <c r="B60" t="s">
        <v>173</v>
      </c>
      <c r="C60" s="12">
        <v>5</v>
      </c>
      <c r="D60" s="8">
        <v>2.13</v>
      </c>
      <c r="E60" s="12">
        <v>3</v>
      </c>
      <c r="F60" s="8">
        <v>2.19</v>
      </c>
      <c r="G60" s="12">
        <v>2</v>
      </c>
      <c r="H60" s="8">
        <v>2.15</v>
      </c>
      <c r="I60" s="12">
        <v>0</v>
      </c>
    </row>
    <row r="61" spans="2:9" ht="15" customHeight="1" x14ac:dyDescent="0.2">
      <c r="B61" t="s">
        <v>167</v>
      </c>
      <c r="C61" s="12">
        <v>5</v>
      </c>
      <c r="D61" s="8">
        <v>2.13</v>
      </c>
      <c r="E61" s="12">
        <v>5</v>
      </c>
      <c r="F61" s="8">
        <v>3.65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203</v>
      </c>
      <c r="C62" s="12">
        <v>5</v>
      </c>
      <c r="D62" s="8">
        <v>2.13</v>
      </c>
      <c r="E62" s="12">
        <v>4</v>
      </c>
      <c r="F62" s="8">
        <v>2.92</v>
      </c>
      <c r="G62" s="12">
        <v>1</v>
      </c>
      <c r="H62" s="8">
        <v>1.08</v>
      </c>
      <c r="I62" s="12">
        <v>0</v>
      </c>
    </row>
    <row r="63" spans="2:9" ht="15" customHeight="1" x14ac:dyDescent="0.2">
      <c r="B63" t="s">
        <v>170</v>
      </c>
      <c r="C63" s="12">
        <v>5</v>
      </c>
      <c r="D63" s="8">
        <v>2.13</v>
      </c>
      <c r="E63" s="12">
        <v>5</v>
      </c>
      <c r="F63" s="8">
        <v>3.65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184</v>
      </c>
      <c r="C64" s="12">
        <v>4</v>
      </c>
      <c r="D64" s="8">
        <v>1.7</v>
      </c>
      <c r="E64" s="12">
        <v>4</v>
      </c>
      <c r="F64" s="8">
        <v>2.92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162</v>
      </c>
      <c r="C65" s="12">
        <v>4</v>
      </c>
      <c r="D65" s="8">
        <v>1.7</v>
      </c>
      <c r="E65" s="12">
        <v>4</v>
      </c>
      <c r="F65" s="8">
        <v>2.92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215</v>
      </c>
      <c r="C66" s="12">
        <v>4</v>
      </c>
      <c r="D66" s="8">
        <v>1.7</v>
      </c>
      <c r="E66" s="12">
        <v>2</v>
      </c>
      <c r="F66" s="8">
        <v>1.46</v>
      </c>
      <c r="G66" s="12">
        <v>2</v>
      </c>
      <c r="H66" s="8">
        <v>2.15</v>
      </c>
      <c r="I66" s="12">
        <v>0</v>
      </c>
    </row>
    <row r="67" spans="2:9" ht="15" customHeight="1" x14ac:dyDescent="0.2">
      <c r="B67" t="s">
        <v>143</v>
      </c>
      <c r="C67" s="12">
        <v>4</v>
      </c>
      <c r="D67" s="8">
        <v>1.7</v>
      </c>
      <c r="E67" s="12">
        <v>4</v>
      </c>
      <c r="F67" s="8">
        <v>2.92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145</v>
      </c>
      <c r="C68" s="12">
        <v>4</v>
      </c>
      <c r="D68" s="8">
        <v>1.7</v>
      </c>
      <c r="E68" s="12">
        <v>3</v>
      </c>
      <c r="F68" s="8">
        <v>2.19</v>
      </c>
      <c r="G68" s="12">
        <v>1</v>
      </c>
      <c r="H68" s="8">
        <v>1.08</v>
      </c>
      <c r="I68" s="12">
        <v>0</v>
      </c>
    </row>
    <row r="69" spans="2:9" ht="15" customHeight="1" x14ac:dyDescent="0.2">
      <c r="B69" t="s">
        <v>136</v>
      </c>
      <c r="C69" s="12">
        <v>3</v>
      </c>
      <c r="D69" s="8">
        <v>1.28</v>
      </c>
      <c r="E69" s="12">
        <v>2</v>
      </c>
      <c r="F69" s="8">
        <v>1.46</v>
      </c>
      <c r="G69" s="12">
        <v>1</v>
      </c>
      <c r="H69" s="8">
        <v>1.08</v>
      </c>
      <c r="I69" s="12">
        <v>0</v>
      </c>
    </row>
    <row r="70" spans="2:9" ht="15" customHeight="1" x14ac:dyDescent="0.2">
      <c r="B70" t="s">
        <v>189</v>
      </c>
      <c r="C70" s="12">
        <v>3</v>
      </c>
      <c r="D70" s="8">
        <v>1.28</v>
      </c>
      <c r="E70" s="12">
        <v>2</v>
      </c>
      <c r="F70" s="8">
        <v>1.46</v>
      </c>
      <c r="G70" s="12">
        <v>1</v>
      </c>
      <c r="H70" s="8">
        <v>1.08</v>
      </c>
      <c r="I70" s="12">
        <v>0</v>
      </c>
    </row>
    <row r="71" spans="2:9" ht="15" customHeight="1" x14ac:dyDescent="0.2">
      <c r="B71" t="s">
        <v>214</v>
      </c>
      <c r="C71" s="12">
        <v>3</v>
      </c>
      <c r="D71" s="8">
        <v>1.28</v>
      </c>
      <c r="E71" s="12">
        <v>3</v>
      </c>
      <c r="F71" s="8">
        <v>2.19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196</v>
      </c>
      <c r="C72" s="12">
        <v>3</v>
      </c>
      <c r="D72" s="8">
        <v>1.28</v>
      </c>
      <c r="E72" s="12">
        <v>0</v>
      </c>
      <c r="F72" s="8">
        <v>0</v>
      </c>
      <c r="G72" s="12">
        <v>3</v>
      </c>
      <c r="H72" s="8">
        <v>3.23</v>
      </c>
      <c r="I72" s="12">
        <v>0</v>
      </c>
    </row>
    <row r="73" spans="2:9" ht="15" customHeight="1" x14ac:dyDescent="0.2">
      <c r="B73" t="s">
        <v>200</v>
      </c>
      <c r="C73" s="12">
        <v>3</v>
      </c>
      <c r="D73" s="8">
        <v>1.28</v>
      </c>
      <c r="E73" s="12">
        <v>0</v>
      </c>
      <c r="F73" s="8">
        <v>0</v>
      </c>
      <c r="G73" s="12">
        <v>3</v>
      </c>
      <c r="H73" s="8">
        <v>3.23</v>
      </c>
      <c r="I73" s="12">
        <v>0</v>
      </c>
    </row>
    <row r="74" spans="2:9" ht="15" customHeight="1" x14ac:dyDescent="0.2">
      <c r="B74" t="s">
        <v>202</v>
      </c>
      <c r="C74" s="12">
        <v>3</v>
      </c>
      <c r="D74" s="8">
        <v>1.28</v>
      </c>
      <c r="E74" s="12">
        <v>2</v>
      </c>
      <c r="F74" s="8">
        <v>1.46</v>
      </c>
      <c r="G74" s="12">
        <v>1</v>
      </c>
      <c r="H74" s="8">
        <v>1.08</v>
      </c>
      <c r="I74" s="12">
        <v>0</v>
      </c>
    </row>
    <row r="75" spans="2:9" ht="15" customHeight="1" x14ac:dyDescent="0.2">
      <c r="B75" t="s">
        <v>142</v>
      </c>
      <c r="C75" s="12">
        <v>3</v>
      </c>
      <c r="D75" s="8">
        <v>1.28</v>
      </c>
      <c r="E75" s="12">
        <v>1</v>
      </c>
      <c r="F75" s="8">
        <v>0.73</v>
      </c>
      <c r="G75" s="12">
        <v>2</v>
      </c>
      <c r="H75" s="8">
        <v>2.15</v>
      </c>
      <c r="I75" s="12">
        <v>0</v>
      </c>
    </row>
    <row r="76" spans="2:9" ht="15" customHeight="1" x14ac:dyDescent="0.2">
      <c r="B76" t="s">
        <v>209</v>
      </c>
      <c r="C76" s="12">
        <v>3</v>
      </c>
      <c r="D76" s="8">
        <v>1.28</v>
      </c>
      <c r="E76" s="12">
        <v>2</v>
      </c>
      <c r="F76" s="8">
        <v>1.46</v>
      </c>
      <c r="G76" s="12">
        <v>1</v>
      </c>
      <c r="H76" s="8">
        <v>1.08</v>
      </c>
      <c r="I76" s="12">
        <v>0</v>
      </c>
    </row>
    <row r="77" spans="2:9" ht="15" customHeight="1" x14ac:dyDescent="0.2">
      <c r="B77" t="s">
        <v>150</v>
      </c>
      <c r="C77" s="12">
        <v>3</v>
      </c>
      <c r="D77" s="8">
        <v>1.28</v>
      </c>
      <c r="E77" s="12">
        <v>3</v>
      </c>
      <c r="F77" s="8">
        <v>2.19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172</v>
      </c>
      <c r="C78" s="12">
        <v>3</v>
      </c>
      <c r="D78" s="8">
        <v>1.28</v>
      </c>
      <c r="E78" s="12">
        <v>3</v>
      </c>
      <c r="F78" s="8">
        <v>2.19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3A9B-ECBC-4E14-BE8E-33A958426E8E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52</v>
      </c>
      <c r="D6" s="8">
        <v>17.93</v>
      </c>
      <c r="E6" s="12">
        <v>17</v>
      </c>
      <c r="F6" s="8">
        <v>10.24</v>
      </c>
      <c r="G6" s="12">
        <v>35</v>
      </c>
      <c r="H6" s="8">
        <v>29.41</v>
      </c>
      <c r="I6" s="12">
        <v>0</v>
      </c>
    </row>
    <row r="7" spans="2:9" ht="15" customHeight="1" x14ac:dyDescent="0.2">
      <c r="B7" t="s">
        <v>53</v>
      </c>
      <c r="C7" s="12">
        <v>31</v>
      </c>
      <c r="D7" s="8">
        <v>10.69</v>
      </c>
      <c r="E7" s="12">
        <v>7</v>
      </c>
      <c r="F7" s="8">
        <v>4.22</v>
      </c>
      <c r="G7" s="12">
        <v>24</v>
      </c>
      <c r="H7" s="8">
        <v>20.170000000000002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1.38</v>
      </c>
      <c r="E8" s="12">
        <v>0</v>
      </c>
      <c r="F8" s="8">
        <v>0</v>
      </c>
      <c r="G8" s="12">
        <v>4</v>
      </c>
      <c r="H8" s="8">
        <v>3.36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0.34</v>
      </c>
      <c r="E9" s="12">
        <v>0</v>
      </c>
      <c r="F9" s="8">
        <v>0</v>
      </c>
      <c r="G9" s="12">
        <v>1</v>
      </c>
      <c r="H9" s="8">
        <v>0.84</v>
      </c>
      <c r="I9" s="12">
        <v>0</v>
      </c>
    </row>
    <row r="10" spans="2:9" ht="15" customHeight="1" x14ac:dyDescent="0.2">
      <c r="B10" t="s">
        <v>56</v>
      </c>
      <c r="C10" s="12">
        <v>5</v>
      </c>
      <c r="D10" s="8">
        <v>1.72</v>
      </c>
      <c r="E10" s="12">
        <v>1</v>
      </c>
      <c r="F10" s="8">
        <v>0.6</v>
      </c>
      <c r="G10" s="12">
        <v>4</v>
      </c>
      <c r="H10" s="8">
        <v>3.36</v>
      </c>
      <c r="I10" s="12">
        <v>0</v>
      </c>
    </row>
    <row r="11" spans="2:9" ht="15" customHeight="1" x14ac:dyDescent="0.2">
      <c r="B11" t="s">
        <v>57</v>
      </c>
      <c r="C11" s="12">
        <v>82</v>
      </c>
      <c r="D11" s="8">
        <v>28.28</v>
      </c>
      <c r="E11" s="12">
        <v>48</v>
      </c>
      <c r="F11" s="8">
        <v>28.92</v>
      </c>
      <c r="G11" s="12">
        <v>34</v>
      </c>
      <c r="H11" s="8">
        <v>28.57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0.69</v>
      </c>
      <c r="E12" s="12">
        <v>0</v>
      </c>
      <c r="F12" s="8">
        <v>0</v>
      </c>
      <c r="G12" s="12">
        <v>2</v>
      </c>
      <c r="H12" s="8">
        <v>1.68</v>
      </c>
      <c r="I12" s="12">
        <v>0</v>
      </c>
    </row>
    <row r="13" spans="2:9" ht="15" customHeight="1" x14ac:dyDescent="0.2">
      <c r="B13" t="s">
        <v>59</v>
      </c>
      <c r="C13" s="12">
        <v>22</v>
      </c>
      <c r="D13" s="8">
        <v>7.59</v>
      </c>
      <c r="E13" s="12">
        <v>16</v>
      </c>
      <c r="F13" s="8">
        <v>9.64</v>
      </c>
      <c r="G13" s="12">
        <v>6</v>
      </c>
      <c r="H13" s="8">
        <v>5.04</v>
      </c>
      <c r="I13" s="12">
        <v>0</v>
      </c>
    </row>
    <row r="14" spans="2:9" ht="15" customHeight="1" x14ac:dyDescent="0.2">
      <c r="B14" t="s">
        <v>60</v>
      </c>
      <c r="C14" s="12">
        <v>7</v>
      </c>
      <c r="D14" s="8">
        <v>2.41</v>
      </c>
      <c r="E14" s="12">
        <v>5</v>
      </c>
      <c r="F14" s="8">
        <v>3.01</v>
      </c>
      <c r="G14" s="12">
        <v>2</v>
      </c>
      <c r="H14" s="8">
        <v>1.68</v>
      </c>
      <c r="I14" s="12">
        <v>0</v>
      </c>
    </row>
    <row r="15" spans="2:9" ht="15" customHeight="1" x14ac:dyDescent="0.2">
      <c r="B15" t="s">
        <v>61</v>
      </c>
      <c r="C15" s="12">
        <v>21</v>
      </c>
      <c r="D15" s="8">
        <v>7.24</v>
      </c>
      <c r="E15" s="12">
        <v>19</v>
      </c>
      <c r="F15" s="8">
        <v>11.45</v>
      </c>
      <c r="G15" s="12">
        <v>2</v>
      </c>
      <c r="H15" s="8">
        <v>1.68</v>
      </c>
      <c r="I15" s="12">
        <v>0</v>
      </c>
    </row>
    <row r="16" spans="2:9" ht="15" customHeight="1" x14ac:dyDescent="0.2">
      <c r="B16" t="s">
        <v>62</v>
      </c>
      <c r="C16" s="12">
        <v>37</v>
      </c>
      <c r="D16" s="8">
        <v>12.76</v>
      </c>
      <c r="E16" s="12">
        <v>35</v>
      </c>
      <c r="F16" s="8">
        <v>21.08</v>
      </c>
      <c r="G16" s="12">
        <v>2</v>
      </c>
      <c r="H16" s="8">
        <v>1.68</v>
      </c>
      <c r="I16" s="12">
        <v>0</v>
      </c>
    </row>
    <row r="17" spans="2:9" ht="15" customHeight="1" x14ac:dyDescent="0.2">
      <c r="B17" t="s">
        <v>63</v>
      </c>
      <c r="C17" s="12">
        <v>10</v>
      </c>
      <c r="D17" s="8">
        <v>3.45</v>
      </c>
      <c r="E17" s="12">
        <v>7</v>
      </c>
      <c r="F17" s="8">
        <v>4.22</v>
      </c>
      <c r="G17" s="12">
        <v>2</v>
      </c>
      <c r="H17" s="8">
        <v>1.68</v>
      </c>
      <c r="I17" s="12">
        <v>0</v>
      </c>
    </row>
    <row r="18" spans="2:9" ht="15" customHeight="1" x14ac:dyDescent="0.2">
      <c r="B18" t="s">
        <v>64</v>
      </c>
      <c r="C18" s="12">
        <v>12</v>
      </c>
      <c r="D18" s="8">
        <v>4.1399999999999997</v>
      </c>
      <c r="E18" s="12">
        <v>7</v>
      </c>
      <c r="F18" s="8">
        <v>4.22</v>
      </c>
      <c r="G18" s="12">
        <v>1</v>
      </c>
      <c r="H18" s="8">
        <v>0.84</v>
      </c>
      <c r="I18" s="12">
        <v>0</v>
      </c>
    </row>
    <row r="19" spans="2:9" ht="15" customHeight="1" x14ac:dyDescent="0.2">
      <c r="B19" t="s">
        <v>65</v>
      </c>
      <c r="C19" s="12">
        <v>4</v>
      </c>
      <c r="D19" s="8">
        <v>1.38</v>
      </c>
      <c r="E19" s="12">
        <v>4</v>
      </c>
      <c r="F19" s="8">
        <v>2.41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281</v>
      </c>
      <c r="C20" s="12">
        <f>SUM(LTBL_43368[総数／事業所数])</f>
        <v>290</v>
      </c>
      <c r="E20" s="12">
        <f>SUBTOTAL(109,LTBL_43368[個人／事業所数])</f>
        <v>166</v>
      </c>
      <c r="G20" s="12">
        <f>SUBTOTAL(109,LTBL_43368[法人／事業所数])</f>
        <v>119</v>
      </c>
      <c r="I20" s="12">
        <f>SUBTOTAL(109,LTBL_43368[法人以外の団体／事業所数])</f>
        <v>0</v>
      </c>
    </row>
    <row r="21" spans="2:9" ht="15" customHeight="1" x14ac:dyDescent="0.2">
      <c r="E21" s="11">
        <f>LTBL_43368[[#Totals],[個人／事業所数]]/LTBL_43368[[#Totals],[総数／事業所数]]</f>
        <v>0.57241379310344831</v>
      </c>
      <c r="G21" s="11">
        <f>LTBL_43368[[#Totals],[法人／事業所数]]/LTBL_43368[[#Totals],[総数／事業所数]]</f>
        <v>0.41034482758620688</v>
      </c>
      <c r="I21" s="11">
        <f>LTBL_43368[[#Totals],[法人以外の団体／事業所数]]/LTBL_43368[[#Totals],[総数／事業所数]]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32</v>
      </c>
      <c r="D24" s="8">
        <v>11.03</v>
      </c>
      <c r="E24" s="12">
        <v>30</v>
      </c>
      <c r="F24" s="8">
        <v>18.07</v>
      </c>
      <c r="G24" s="12">
        <v>2</v>
      </c>
      <c r="H24" s="8">
        <v>1.68</v>
      </c>
      <c r="I24" s="12">
        <v>0</v>
      </c>
    </row>
    <row r="25" spans="2:9" ht="15" customHeight="1" x14ac:dyDescent="0.2">
      <c r="B25" t="s">
        <v>83</v>
      </c>
      <c r="C25" s="12">
        <v>22</v>
      </c>
      <c r="D25" s="8">
        <v>7.59</v>
      </c>
      <c r="E25" s="12">
        <v>14</v>
      </c>
      <c r="F25" s="8">
        <v>8.43</v>
      </c>
      <c r="G25" s="12">
        <v>8</v>
      </c>
      <c r="H25" s="8">
        <v>6.72</v>
      </c>
      <c r="I25" s="12">
        <v>0</v>
      </c>
    </row>
    <row r="26" spans="2:9" ht="15" customHeight="1" x14ac:dyDescent="0.2">
      <c r="B26" t="s">
        <v>74</v>
      </c>
      <c r="C26" s="12">
        <v>21</v>
      </c>
      <c r="D26" s="8">
        <v>7.24</v>
      </c>
      <c r="E26" s="12">
        <v>7</v>
      </c>
      <c r="F26" s="8">
        <v>4.22</v>
      </c>
      <c r="G26" s="12">
        <v>14</v>
      </c>
      <c r="H26" s="8">
        <v>11.76</v>
      </c>
      <c r="I26" s="12">
        <v>0</v>
      </c>
    </row>
    <row r="27" spans="2:9" ht="15" customHeight="1" x14ac:dyDescent="0.2">
      <c r="B27" t="s">
        <v>81</v>
      </c>
      <c r="C27" s="12">
        <v>21</v>
      </c>
      <c r="D27" s="8">
        <v>7.24</v>
      </c>
      <c r="E27" s="12">
        <v>17</v>
      </c>
      <c r="F27" s="8">
        <v>10.24</v>
      </c>
      <c r="G27" s="12">
        <v>4</v>
      </c>
      <c r="H27" s="8">
        <v>3.36</v>
      </c>
      <c r="I27" s="12">
        <v>0</v>
      </c>
    </row>
    <row r="28" spans="2:9" ht="15" customHeight="1" x14ac:dyDescent="0.2">
      <c r="B28" t="s">
        <v>76</v>
      </c>
      <c r="C28" s="12">
        <v>17</v>
      </c>
      <c r="D28" s="8">
        <v>5.86</v>
      </c>
      <c r="E28" s="12">
        <v>5</v>
      </c>
      <c r="F28" s="8">
        <v>3.01</v>
      </c>
      <c r="G28" s="12">
        <v>12</v>
      </c>
      <c r="H28" s="8">
        <v>10.08</v>
      </c>
      <c r="I28" s="12">
        <v>0</v>
      </c>
    </row>
    <row r="29" spans="2:9" ht="15" customHeight="1" x14ac:dyDescent="0.2">
      <c r="B29" t="s">
        <v>88</v>
      </c>
      <c r="C29" s="12">
        <v>17</v>
      </c>
      <c r="D29" s="8">
        <v>5.86</v>
      </c>
      <c r="E29" s="12">
        <v>16</v>
      </c>
      <c r="F29" s="8">
        <v>9.64</v>
      </c>
      <c r="G29" s="12">
        <v>1</v>
      </c>
      <c r="H29" s="8">
        <v>0.84</v>
      </c>
      <c r="I29" s="12">
        <v>0</v>
      </c>
    </row>
    <row r="30" spans="2:9" ht="15" customHeight="1" x14ac:dyDescent="0.2">
      <c r="B30" t="s">
        <v>75</v>
      </c>
      <c r="C30" s="12">
        <v>14</v>
      </c>
      <c r="D30" s="8">
        <v>4.83</v>
      </c>
      <c r="E30" s="12">
        <v>5</v>
      </c>
      <c r="F30" s="8">
        <v>3.01</v>
      </c>
      <c r="G30" s="12">
        <v>9</v>
      </c>
      <c r="H30" s="8">
        <v>7.56</v>
      </c>
      <c r="I30" s="12">
        <v>0</v>
      </c>
    </row>
    <row r="31" spans="2:9" ht="15" customHeight="1" x14ac:dyDescent="0.2">
      <c r="B31" t="s">
        <v>82</v>
      </c>
      <c r="C31" s="12">
        <v>14</v>
      </c>
      <c r="D31" s="8">
        <v>4.83</v>
      </c>
      <c r="E31" s="12">
        <v>9</v>
      </c>
      <c r="F31" s="8">
        <v>5.42</v>
      </c>
      <c r="G31" s="12">
        <v>5</v>
      </c>
      <c r="H31" s="8">
        <v>4.2</v>
      </c>
      <c r="I31" s="12">
        <v>0</v>
      </c>
    </row>
    <row r="32" spans="2:9" ht="15" customHeight="1" x14ac:dyDescent="0.2">
      <c r="B32" t="s">
        <v>85</v>
      </c>
      <c r="C32" s="12">
        <v>13</v>
      </c>
      <c r="D32" s="8">
        <v>4.4800000000000004</v>
      </c>
      <c r="E32" s="12">
        <v>11</v>
      </c>
      <c r="F32" s="8">
        <v>6.63</v>
      </c>
      <c r="G32" s="12">
        <v>2</v>
      </c>
      <c r="H32" s="8">
        <v>1.68</v>
      </c>
      <c r="I32" s="12">
        <v>0</v>
      </c>
    </row>
    <row r="33" spans="2:9" ht="15" customHeight="1" x14ac:dyDescent="0.2">
      <c r="B33" t="s">
        <v>90</v>
      </c>
      <c r="C33" s="12">
        <v>10</v>
      </c>
      <c r="D33" s="8">
        <v>3.45</v>
      </c>
      <c r="E33" s="12">
        <v>7</v>
      </c>
      <c r="F33" s="8">
        <v>4.22</v>
      </c>
      <c r="G33" s="12">
        <v>2</v>
      </c>
      <c r="H33" s="8">
        <v>1.68</v>
      </c>
      <c r="I33" s="12">
        <v>0</v>
      </c>
    </row>
    <row r="34" spans="2:9" ht="15" customHeight="1" x14ac:dyDescent="0.2">
      <c r="B34" t="s">
        <v>84</v>
      </c>
      <c r="C34" s="12">
        <v>8</v>
      </c>
      <c r="D34" s="8">
        <v>2.76</v>
      </c>
      <c r="E34" s="12">
        <v>5</v>
      </c>
      <c r="F34" s="8">
        <v>3.01</v>
      </c>
      <c r="G34" s="12">
        <v>3</v>
      </c>
      <c r="H34" s="8">
        <v>2.52</v>
      </c>
      <c r="I34" s="12">
        <v>0</v>
      </c>
    </row>
    <row r="35" spans="2:9" ht="15" customHeight="1" x14ac:dyDescent="0.2">
      <c r="B35" t="s">
        <v>102</v>
      </c>
      <c r="C35" s="12">
        <v>7</v>
      </c>
      <c r="D35" s="8">
        <v>2.41</v>
      </c>
      <c r="E35" s="12">
        <v>1</v>
      </c>
      <c r="F35" s="8">
        <v>0.6</v>
      </c>
      <c r="G35" s="12">
        <v>6</v>
      </c>
      <c r="H35" s="8">
        <v>5.04</v>
      </c>
      <c r="I35" s="12">
        <v>0</v>
      </c>
    </row>
    <row r="36" spans="2:9" ht="15" customHeight="1" x14ac:dyDescent="0.2">
      <c r="B36" t="s">
        <v>99</v>
      </c>
      <c r="C36" s="12">
        <v>7</v>
      </c>
      <c r="D36" s="8">
        <v>2.41</v>
      </c>
      <c r="E36" s="12">
        <v>1</v>
      </c>
      <c r="F36" s="8">
        <v>0.6</v>
      </c>
      <c r="G36" s="12">
        <v>6</v>
      </c>
      <c r="H36" s="8">
        <v>5.04</v>
      </c>
      <c r="I36" s="12">
        <v>0</v>
      </c>
    </row>
    <row r="37" spans="2:9" ht="15" customHeight="1" x14ac:dyDescent="0.2">
      <c r="B37" t="s">
        <v>91</v>
      </c>
      <c r="C37" s="12">
        <v>7</v>
      </c>
      <c r="D37" s="8">
        <v>2.41</v>
      </c>
      <c r="E37" s="12">
        <v>7</v>
      </c>
      <c r="F37" s="8">
        <v>4.22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103</v>
      </c>
      <c r="C38" s="12">
        <v>5</v>
      </c>
      <c r="D38" s="8">
        <v>1.72</v>
      </c>
      <c r="E38" s="12">
        <v>2</v>
      </c>
      <c r="F38" s="8">
        <v>1.2</v>
      </c>
      <c r="G38" s="12">
        <v>3</v>
      </c>
      <c r="H38" s="8">
        <v>2.52</v>
      </c>
      <c r="I38" s="12">
        <v>0</v>
      </c>
    </row>
    <row r="39" spans="2:9" ht="15" customHeight="1" x14ac:dyDescent="0.2">
      <c r="B39" t="s">
        <v>92</v>
      </c>
      <c r="C39" s="12">
        <v>5</v>
      </c>
      <c r="D39" s="8">
        <v>1.72</v>
      </c>
      <c r="E39" s="12">
        <v>0</v>
      </c>
      <c r="F39" s="8">
        <v>0</v>
      </c>
      <c r="G39" s="12">
        <v>1</v>
      </c>
      <c r="H39" s="8">
        <v>0.84</v>
      </c>
      <c r="I39" s="12">
        <v>0</v>
      </c>
    </row>
    <row r="40" spans="2:9" ht="15" customHeight="1" x14ac:dyDescent="0.2">
      <c r="B40" t="s">
        <v>77</v>
      </c>
      <c r="C40" s="12">
        <v>4</v>
      </c>
      <c r="D40" s="8">
        <v>1.38</v>
      </c>
      <c r="E40" s="12">
        <v>1</v>
      </c>
      <c r="F40" s="8">
        <v>0.6</v>
      </c>
      <c r="G40" s="12">
        <v>3</v>
      </c>
      <c r="H40" s="8">
        <v>2.52</v>
      </c>
      <c r="I40" s="12">
        <v>0</v>
      </c>
    </row>
    <row r="41" spans="2:9" ht="15" customHeight="1" x14ac:dyDescent="0.2">
      <c r="B41" t="s">
        <v>112</v>
      </c>
      <c r="C41" s="12">
        <v>4</v>
      </c>
      <c r="D41" s="8">
        <v>1.38</v>
      </c>
      <c r="E41" s="12">
        <v>0</v>
      </c>
      <c r="F41" s="8">
        <v>0</v>
      </c>
      <c r="G41" s="12">
        <v>4</v>
      </c>
      <c r="H41" s="8">
        <v>3.36</v>
      </c>
      <c r="I41" s="12">
        <v>0</v>
      </c>
    </row>
    <row r="42" spans="2:9" ht="15" customHeight="1" x14ac:dyDescent="0.2">
      <c r="B42" t="s">
        <v>79</v>
      </c>
      <c r="C42" s="12">
        <v>4</v>
      </c>
      <c r="D42" s="8">
        <v>1.38</v>
      </c>
      <c r="E42" s="12">
        <v>0</v>
      </c>
      <c r="F42" s="8">
        <v>0</v>
      </c>
      <c r="G42" s="12">
        <v>4</v>
      </c>
      <c r="H42" s="8">
        <v>3.36</v>
      </c>
      <c r="I42" s="12">
        <v>0</v>
      </c>
    </row>
    <row r="43" spans="2:9" ht="15" customHeight="1" x14ac:dyDescent="0.2">
      <c r="B43" t="s">
        <v>94</v>
      </c>
      <c r="C43" s="12">
        <v>4</v>
      </c>
      <c r="D43" s="8">
        <v>1.38</v>
      </c>
      <c r="E43" s="12">
        <v>2</v>
      </c>
      <c r="F43" s="8">
        <v>1.2</v>
      </c>
      <c r="G43" s="12">
        <v>2</v>
      </c>
      <c r="H43" s="8">
        <v>1.68</v>
      </c>
      <c r="I43" s="12">
        <v>0</v>
      </c>
    </row>
    <row r="44" spans="2:9" ht="15" customHeight="1" x14ac:dyDescent="0.2">
      <c r="B44" t="s">
        <v>80</v>
      </c>
      <c r="C44" s="12">
        <v>4</v>
      </c>
      <c r="D44" s="8">
        <v>1.38</v>
      </c>
      <c r="E44" s="12">
        <v>3</v>
      </c>
      <c r="F44" s="8">
        <v>1.81</v>
      </c>
      <c r="G44" s="12">
        <v>1</v>
      </c>
      <c r="H44" s="8">
        <v>0.84</v>
      </c>
      <c r="I44" s="12">
        <v>0</v>
      </c>
    </row>
    <row r="45" spans="2:9" ht="15" customHeight="1" x14ac:dyDescent="0.2">
      <c r="B45" t="s">
        <v>86</v>
      </c>
      <c r="C45" s="12">
        <v>4</v>
      </c>
      <c r="D45" s="8">
        <v>1.38</v>
      </c>
      <c r="E45" s="12">
        <v>3</v>
      </c>
      <c r="F45" s="8">
        <v>1.81</v>
      </c>
      <c r="G45" s="12">
        <v>1</v>
      </c>
      <c r="H45" s="8">
        <v>0.84</v>
      </c>
      <c r="I45" s="12">
        <v>0</v>
      </c>
    </row>
    <row r="46" spans="2:9" ht="15" customHeight="1" x14ac:dyDescent="0.2">
      <c r="B46" t="s">
        <v>97</v>
      </c>
      <c r="C46" s="12">
        <v>4</v>
      </c>
      <c r="D46" s="8">
        <v>1.38</v>
      </c>
      <c r="E46" s="12">
        <v>4</v>
      </c>
      <c r="F46" s="8">
        <v>2.41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93</v>
      </c>
      <c r="C47" s="12">
        <v>4</v>
      </c>
      <c r="D47" s="8">
        <v>1.38</v>
      </c>
      <c r="E47" s="12">
        <v>4</v>
      </c>
      <c r="F47" s="8">
        <v>2.41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283</v>
      </c>
      <c r="C50" s="10" t="s">
        <v>67</v>
      </c>
      <c r="D50" s="10" t="s">
        <v>68</v>
      </c>
      <c r="E50" s="10" t="s">
        <v>69</v>
      </c>
      <c r="F50" s="10" t="s">
        <v>70</v>
      </c>
      <c r="G50" s="10" t="s">
        <v>71</v>
      </c>
      <c r="H50" s="10" t="s">
        <v>72</v>
      </c>
      <c r="I50" s="10" t="s">
        <v>73</v>
      </c>
    </row>
    <row r="51" spans="2:9" ht="15" customHeight="1" x14ac:dyDescent="0.2">
      <c r="B51" t="s">
        <v>151</v>
      </c>
      <c r="C51" s="12">
        <v>19</v>
      </c>
      <c r="D51" s="8">
        <v>6.55</v>
      </c>
      <c r="E51" s="12">
        <v>18</v>
      </c>
      <c r="F51" s="8">
        <v>10.84</v>
      </c>
      <c r="G51" s="12">
        <v>1</v>
      </c>
      <c r="H51" s="8">
        <v>0.84</v>
      </c>
      <c r="I51" s="12">
        <v>0</v>
      </c>
    </row>
    <row r="52" spans="2:9" ht="15" customHeight="1" x14ac:dyDescent="0.2">
      <c r="B52" t="s">
        <v>147</v>
      </c>
      <c r="C52" s="12">
        <v>11</v>
      </c>
      <c r="D52" s="8">
        <v>3.79</v>
      </c>
      <c r="E52" s="12">
        <v>10</v>
      </c>
      <c r="F52" s="8">
        <v>6.02</v>
      </c>
      <c r="G52" s="12">
        <v>1</v>
      </c>
      <c r="H52" s="8">
        <v>0.84</v>
      </c>
      <c r="I52" s="12">
        <v>0</v>
      </c>
    </row>
    <row r="53" spans="2:9" ht="15" customHeight="1" x14ac:dyDescent="0.2">
      <c r="B53" t="s">
        <v>140</v>
      </c>
      <c r="C53" s="12">
        <v>10</v>
      </c>
      <c r="D53" s="8">
        <v>3.45</v>
      </c>
      <c r="E53" s="12">
        <v>7</v>
      </c>
      <c r="F53" s="8">
        <v>4.22</v>
      </c>
      <c r="G53" s="12">
        <v>3</v>
      </c>
      <c r="H53" s="8">
        <v>2.52</v>
      </c>
      <c r="I53" s="12">
        <v>0</v>
      </c>
    </row>
    <row r="54" spans="2:9" ht="15" customHeight="1" x14ac:dyDescent="0.2">
      <c r="B54" t="s">
        <v>135</v>
      </c>
      <c r="C54" s="12">
        <v>9</v>
      </c>
      <c r="D54" s="8">
        <v>3.1</v>
      </c>
      <c r="E54" s="12">
        <v>2</v>
      </c>
      <c r="F54" s="8">
        <v>1.2</v>
      </c>
      <c r="G54" s="12">
        <v>7</v>
      </c>
      <c r="H54" s="8">
        <v>5.88</v>
      </c>
      <c r="I54" s="12">
        <v>0</v>
      </c>
    </row>
    <row r="55" spans="2:9" ht="15" customHeight="1" x14ac:dyDescent="0.2">
      <c r="B55" t="s">
        <v>138</v>
      </c>
      <c r="C55" s="12">
        <v>9</v>
      </c>
      <c r="D55" s="8">
        <v>3.1</v>
      </c>
      <c r="E55" s="12">
        <v>3</v>
      </c>
      <c r="F55" s="8">
        <v>1.81</v>
      </c>
      <c r="G55" s="12">
        <v>6</v>
      </c>
      <c r="H55" s="8">
        <v>5.04</v>
      </c>
      <c r="I55" s="12">
        <v>0</v>
      </c>
    </row>
    <row r="56" spans="2:9" ht="15" customHeight="1" x14ac:dyDescent="0.2">
      <c r="B56" t="s">
        <v>141</v>
      </c>
      <c r="C56" s="12">
        <v>9</v>
      </c>
      <c r="D56" s="8">
        <v>3.1</v>
      </c>
      <c r="E56" s="12">
        <v>5</v>
      </c>
      <c r="F56" s="8">
        <v>3.01</v>
      </c>
      <c r="G56" s="12">
        <v>4</v>
      </c>
      <c r="H56" s="8">
        <v>3.36</v>
      </c>
      <c r="I56" s="12">
        <v>0</v>
      </c>
    </row>
    <row r="57" spans="2:9" ht="15" customHeight="1" x14ac:dyDescent="0.2">
      <c r="B57" t="s">
        <v>145</v>
      </c>
      <c r="C57" s="12">
        <v>9</v>
      </c>
      <c r="D57" s="8">
        <v>3.1</v>
      </c>
      <c r="E57" s="12">
        <v>8</v>
      </c>
      <c r="F57" s="8">
        <v>4.82</v>
      </c>
      <c r="G57" s="12">
        <v>1</v>
      </c>
      <c r="H57" s="8">
        <v>0.84</v>
      </c>
      <c r="I57" s="12">
        <v>0</v>
      </c>
    </row>
    <row r="58" spans="2:9" ht="15" customHeight="1" x14ac:dyDescent="0.2">
      <c r="B58" t="s">
        <v>150</v>
      </c>
      <c r="C58" s="12">
        <v>9</v>
      </c>
      <c r="D58" s="8">
        <v>3.1</v>
      </c>
      <c r="E58" s="12">
        <v>9</v>
      </c>
      <c r="F58" s="8">
        <v>5.42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152</v>
      </c>
      <c r="C59" s="12">
        <v>7</v>
      </c>
      <c r="D59" s="8">
        <v>2.41</v>
      </c>
      <c r="E59" s="12">
        <v>5</v>
      </c>
      <c r="F59" s="8">
        <v>3.01</v>
      </c>
      <c r="G59" s="12">
        <v>2</v>
      </c>
      <c r="H59" s="8">
        <v>1.68</v>
      </c>
      <c r="I59" s="12">
        <v>0</v>
      </c>
    </row>
    <row r="60" spans="2:9" ht="15" customHeight="1" x14ac:dyDescent="0.2">
      <c r="B60" t="s">
        <v>175</v>
      </c>
      <c r="C60" s="12">
        <v>6</v>
      </c>
      <c r="D60" s="8">
        <v>2.0699999999999998</v>
      </c>
      <c r="E60" s="12">
        <v>3</v>
      </c>
      <c r="F60" s="8">
        <v>1.81</v>
      </c>
      <c r="G60" s="12">
        <v>3</v>
      </c>
      <c r="H60" s="8">
        <v>2.52</v>
      </c>
      <c r="I60" s="12">
        <v>0</v>
      </c>
    </row>
    <row r="61" spans="2:9" ht="15" customHeight="1" x14ac:dyDescent="0.2">
      <c r="B61" t="s">
        <v>163</v>
      </c>
      <c r="C61" s="12">
        <v>6</v>
      </c>
      <c r="D61" s="8">
        <v>2.0699999999999998</v>
      </c>
      <c r="E61" s="12">
        <v>2</v>
      </c>
      <c r="F61" s="8">
        <v>1.2</v>
      </c>
      <c r="G61" s="12">
        <v>4</v>
      </c>
      <c r="H61" s="8">
        <v>3.36</v>
      </c>
      <c r="I61" s="12">
        <v>0</v>
      </c>
    </row>
    <row r="62" spans="2:9" ht="15" customHeight="1" x14ac:dyDescent="0.2">
      <c r="B62" t="s">
        <v>168</v>
      </c>
      <c r="C62" s="12">
        <v>6</v>
      </c>
      <c r="D62" s="8">
        <v>2.0699999999999998</v>
      </c>
      <c r="E62" s="12">
        <v>1</v>
      </c>
      <c r="F62" s="8">
        <v>0.6</v>
      </c>
      <c r="G62" s="12">
        <v>5</v>
      </c>
      <c r="H62" s="8">
        <v>4.2</v>
      </c>
      <c r="I62" s="12">
        <v>0</v>
      </c>
    </row>
    <row r="63" spans="2:9" ht="15" customHeight="1" x14ac:dyDescent="0.2">
      <c r="B63" t="s">
        <v>143</v>
      </c>
      <c r="C63" s="12">
        <v>5</v>
      </c>
      <c r="D63" s="8">
        <v>1.72</v>
      </c>
      <c r="E63" s="12">
        <v>4</v>
      </c>
      <c r="F63" s="8">
        <v>2.41</v>
      </c>
      <c r="G63" s="12">
        <v>1</v>
      </c>
      <c r="H63" s="8">
        <v>0.84</v>
      </c>
      <c r="I63" s="12">
        <v>0</v>
      </c>
    </row>
    <row r="64" spans="2:9" ht="15" customHeight="1" x14ac:dyDescent="0.2">
      <c r="B64" t="s">
        <v>155</v>
      </c>
      <c r="C64" s="12">
        <v>5</v>
      </c>
      <c r="D64" s="8">
        <v>1.72</v>
      </c>
      <c r="E64" s="12">
        <v>5</v>
      </c>
      <c r="F64" s="8">
        <v>3.01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4</v>
      </c>
      <c r="D65" s="8">
        <v>1.38</v>
      </c>
      <c r="E65" s="12">
        <v>1</v>
      </c>
      <c r="F65" s="8">
        <v>0.6</v>
      </c>
      <c r="G65" s="12">
        <v>3</v>
      </c>
      <c r="H65" s="8">
        <v>2.52</v>
      </c>
      <c r="I65" s="12">
        <v>0</v>
      </c>
    </row>
    <row r="66" spans="2:9" ht="15" customHeight="1" x14ac:dyDescent="0.2">
      <c r="B66" t="s">
        <v>137</v>
      </c>
      <c r="C66" s="12">
        <v>4</v>
      </c>
      <c r="D66" s="8">
        <v>1.38</v>
      </c>
      <c r="E66" s="12">
        <v>1</v>
      </c>
      <c r="F66" s="8">
        <v>0.6</v>
      </c>
      <c r="G66" s="12">
        <v>3</v>
      </c>
      <c r="H66" s="8">
        <v>2.52</v>
      </c>
      <c r="I66" s="12">
        <v>0</v>
      </c>
    </row>
    <row r="67" spans="2:9" ht="15" customHeight="1" x14ac:dyDescent="0.2">
      <c r="B67" t="s">
        <v>189</v>
      </c>
      <c r="C67" s="12">
        <v>4</v>
      </c>
      <c r="D67" s="8">
        <v>1.38</v>
      </c>
      <c r="E67" s="12">
        <v>0</v>
      </c>
      <c r="F67" s="8">
        <v>0</v>
      </c>
      <c r="G67" s="12">
        <v>4</v>
      </c>
      <c r="H67" s="8">
        <v>3.36</v>
      </c>
      <c r="I67" s="12">
        <v>0</v>
      </c>
    </row>
    <row r="68" spans="2:9" ht="15" customHeight="1" x14ac:dyDescent="0.2">
      <c r="B68" t="s">
        <v>196</v>
      </c>
      <c r="C68" s="12">
        <v>4</v>
      </c>
      <c r="D68" s="8">
        <v>1.38</v>
      </c>
      <c r="E68" s="12">
        <v>0</v>
      </c>
      <c r="F68" s="8">
        <v>0</v>
      </c>
      <c r="G68" s="12">
        <v>4</v>
      </c>
      <c r="H68" s="8">
        <v>3.36</v>
      </c>
      <c r="I68" s="12">
        <v>0</v>
      </c>
    </row>
    <row r="69" spans="2:9" ht="15" customHeight="1" x14ac:dyDescent="0.2">
      <c r="B69" t="s">
        <v>166</v>
      </c>
      <c r="C69" s="12">
        <v>4</v>
      </c>
      <c r="D69" s="8">
        <v>1.38</v>
      </c>
      <c r="E69" s="12">
        <v>3</v>
      </c>
      <c r="F69" s="8">
        <v>1.81</v>
      </c>
      <c r="G69" s="12">
        <v>1</v>
      </c>
      <c r="H69" s="8">
        <v>0.84</v>
      </c>
      <c r="I69" s="12">
        <v>0</v>
      </c>
    </row>
    <row r="70" spans="2:9" ht="15" customHeight="1" x14ac:dyDescent="0.2">
      <c r="B70" t="s">
        <v>167</v>
      </c>
      <c r="C70" s="12">
        <v>4</v>
      </c>
      <c r="D70" s="8">
        <v>1.38</v>
      </c>
      <c r="E70" s="12">
        <v>3</v>
      </c>
      <c r="F70" s="8">
        <v>1.81</v>
      </c>
      <c r="G70" s="12">
        <v>1</v>
      </c>
      <c r="H70" s="8">
        <v>0.84</v>
      </c>
      <c r="I70" s="12">
        <v>0</v>
      </c>
    </row>
    <row r="71" spans="2:9" ht="15" customHeight="1" x14ac:dyDescent="0.2">
      <c r="B71" t="s">
        <v>205</v>
      </c>
      <c r="C71" s="12">
        <v>4</v>
      </c>
      <c r="D71" s="8">
        <v>1.38</v>
      </c>
      <c r="E71" s="12">
        <v>4</v>
      </c>
      <c r="F71" s="8">
        <v>2.41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153</v>
      </c>
      <c r="C72" s="12">
        <v>4</v>
      </c>
      <c r="D72" s="8">
        <v>1.38</v>
      </c>
      <c r="E72" s="12">
        <v>4</v>
      </c>
      <c r="F72" s="8">
        <v>2.41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216</v>
      </c>
      <c r="C73" s="12">
        <v>4</v>
      </c>
      <c r="D73" s="8">
        <v>1.38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154</v>
      </c>
      <c r="C74" s="12">
        <v>4</v>
      </c>
      <c r="D74" s="8">
        <v>1.38</v>
      </c>
      <c r="E74" s="12">
        <v>4</v>
      </c>
      <c r="F74" s="8">
        <v>2.41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C4F4-F85B-4E32-87F1-6AA7BE1EB592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47</v>
      </c>
      <c r="D6" s="8">
        <v>18.88</v>
      </c>
      <c r="E6" s="12">
        <v>29</v>
      </c>
      <c r="F6" s="8">
        <v>17.260000000000002</v>
      </c>
      <c r="G6" s="12">
        <v>18</v>
      </c>
      <c r="H6" s="8">
        <v>22.78</v>
      </c>
      <c r="I6" s="12">
        <v>0</v>
      </c>
    </row>
    <row r="7" spans="2:9" ht="15" customHeight="1" x14ac:dyDescent="0.2">
      <c r="B7" t="s">
        <v>53</v>
      </c>
      <c r="C7" s="12">
        <v>20</v>
      </c>
      <c r="D7" s="8">
        <v>8.0299999999999994</v>
      </c>
      <c r="E7" s="12">
        <v>9</v>
      </c>
      <c r="F7" s="8">
        <v>5.36</v>
      </c>
      <c r="G7" s="12">
        <v>11</v>
      </c>
      <c r="H7" s="8">
        <v>13.92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0.4</v>
      </c>
      <c r="E8" s="12">
        <v>0</v>
      </c>
      <c r="F8" s="8">
        <v>0</v>
      </c>
      <c r="G8" s="12">
        <v>1</v>
      </c>
      <c r="H8" s="8">
        <v>1.27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1.2</v>
      </c>
      <c r="E10" s="12">
        <v>2</v>
      </c>
      <c r="F10" s="8">
        <v>1.19</v>
      </c>
      <c r="G10" s="12">
        <v>1</v>
      </c>
      <c r="H10" s="8">
        <v>1.27</v>
      </c>
      <c r="I10" s="12">
        <v>0</v>
      </c>
    </row>
    <row r="11" spans="2:9" ht="15" customHeight="1" x14ac:dyDescent="0.2">
      <c r="B11" t="s">
        <v>57</v>
      </c>
      <c r="C11" s="12">
        <v>73</v>
      </c>
      <c r="D11" s="8">
        <v>29.32</v>
      </c>
      <c r="E11" s="12">
        <v>47</v>
      </c>
      <c r="F11" s="8">
        <v>27.98</v>
      </c>
      <c r="G11" s="12">
        <v>26</v>
      </c>
      <c r="H11" s="8">
        <v>32.909999999999997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0.4</v>
      </c>
      <c r="E12" s="12">
        <v>1</v>
      </c>
      <c r="F12" s="8">
        <v>0.6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8</v>
      </c>
      <c r="D13" s="8">
        <v>3.21</v>
      </c>
      <c r="E13" s="12">
        <v>5</v>
      </c>
      <c r="F13" s="8">
        <v>2.98</v>
      </c>
      <c r="G13" s="12">
        <v>3</v>
      </c>
      <c r="H13" s="8">
        <v>3.8</v>
      </c>
      <c r="I13" s="12">
        <v>0</v>
      </c>
    </row>
    <row r="14" spans="2:9" ht="15" customHeight="1" x14ac:dyDescent="0.2">
      <c r="B14" t="s">
        <v>60</v>
      </c>
      <c r="C14" s="12">
        <v>8</v>
      </c>
      <c r="D14" s="8">
        <v>3.21</v>
      </c>
      <c r="E14" s="12">
        <v>5</v>
      </c>
      <c r="F14" s="8">
        <v>2.98</v>
      </c>
      <c r="G14" s="12">
        <v>3</v>
      </c>
      <c r="H14" s="8">
        <v>3.8</v>
      </c>
      <c r="I14" s="12">
        <v>0</v>
      </c>
    </row>
    <row r="15" spans="2:9" ht="15" customHeight="1" x14ac:dyDescent="0.2">
      <c r="B15" t="s">
        <v>61</v>
      </c>
      <c r="C15" s="12">
        <v>22</v>
      </c>
      <c r="D15" s="8">
        <v>8.84</v>
      </c>
      <c r="E15" s="12">
        <v>17</v>
      </c>
      <c r="F15" s="8">
        <v>10.119999999999999</v>
      </c>
      <c r="G15" s="12">
        <v>5</v>
      </c>
      <c r="H15" s="8">
        <v>6.33</v>
      </c>
      <c r="I15" s="12">
        <v>0</v>
      </c>
    </row>
    <row r="16" spans="2:9" ht="15" customHeight="1" x14ac:dyDescent="0.2">
      <c r="B16" t="s">
        <v>62</v>
      </c>
      <c r="C16" s="12">
        <v>21</v>
      </c>
      <c r="D16" s="8">
        <v>8.43</v>
      </c>
      <c r="E16" s="12">
        <v>20</v>
      </c>
      <c r="F16" s="8">
        <v>11.9</v>
      </c>
      <c r="G16" s="12">
        <v>1</v>
      </c>
      <c r="H16" s="8">
        <v>1.27</v>
      </c>
      <c r="I16" s="12">
        <v>0</v>
      </c>
    </row>
    <row r="17" spans="2:9" ht="15" customHeight="1" x14ac:dyDescent="0.2">
      <c r="B17" t="s">
        <v>63</v>
      </c>
      <c r="C17" s="12">
        <v>10</v>
      </c>
      <c r="D17" s="8">
        <v>4.0199999999999996</v>
      </c>
      <c r="E17" s="12">
        <v>8</v>
      </c>
      <c r="F17" s="8">
        <v>4.76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11</v>
      </c>
      <c r="D18" s="8">
        <v>4.42</v>
      </c>
      <c r="E18" s="12">
        <v>6</v>
      </c>
      <c r="F18" s="8">
        <v>3.57</v>
      </c>
      <c r="G18" s="12">
        <v>5</v>
      </c>
      <c r="H18" s="8">
        <v>6.33</v>
      </c>
      <c r="I18" s="12">
        <v>0</v>
      </c>
    </row>
    <row r="19" spans="2:9" ht="15" customHeight="1" x14ac:dyDescent="0.2">
      <c r="B19" t="s">
        <v>65</v>
      </c>
      <c r="C19" s="12">
        <v>24</v>
      </c>
      <c r="D19" s="8">
        <v>9.64</v>
      </c>
      <c r="E19" s="12">
        <v>19</v>
      </c>
      <c r="F19" s="8">
        <v>11.31</v>
      </c>
      <c r="G19" s="12">
        <v>5</v>
      </c>
      <c r="H19" s="8">
        <v>6.33</v>
      </c>
      <c r="I19" s="12">
        <v>0</v>
      </c>
    </row>
    <row r="20" spans="2:9" ht="15" customHeight="1" x14ac:dyDescent="0.2">
      <c r="B20" s="9" t="s">
        <v>281</v>
      </c>
      <c r="C20" s="12">
        <f>SUM(LTBL_43369[総数／事業所数])</f>
        <v>249</v>
      </c>
      <c r="E20" s="12">
        <f>SUBTOTAL(109,LTBL_43369[個人／事業所数])</f>
        <v>168</v>
      </c>
      <c r="G20" s="12">
        <f>SUBTOTAL(109,LTBL_43369[法人／事業所数])</f>
        <v>79</v>
      </c>
      <c r="I20" s="12">
        <f>SUBTOTAL(109,LTBL_43369[法人以外の団体／事業所数])</f>
        <v>0</v>
      </c>
    </row>
    <row r="21" spans="2:9" ht="15" customHeight="1" x14ac:dyDescent="0.2">
      <c r="E21" s="11">
        <f>LTBL_43369[[#Totals],[個人／事業所数]]/LTBL_43369[[#Totals],[総数／事業所数]]</f>
        <v>0.67469879518072284</v>
      </c>
      <c r="G21" s="11">
        <f>LTBL_43369[[#Totals],[法人／事業所数]]/LTBL_43369[[#Totals],[総数／事業所数]]</f>
        <v>0.31726907630522089</v>
      </c>
      <c r="I21" s="11">
        <f>LTBL_43369[[#Totals],[法人以外の団体／事業所数]]/LTBL_43369[[#Totals],[総数／事業所数]]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81</v>
      </c>
      <c r="C24" s="12">
        <v>26</v>
      </c>
      <c r="D24" s="8">
        <v>10.44</v>
      </c>
      <c r="E24" s="12">
        <v>23</v>
      </c>
      <c r="F24" s="8">
        <v>13.69</v>
      </c>
      <c r="G24" s="12">
        <v>3</v>
      </c>
      <c r="H24" s="8">
        <v>3.8</v>
      </c>
      <c r="I24" s="12">
        <v>0</v>
      </c>
    </row>
    <row r="25" spans="2:9" ht="15" customHeight="1" x14ac:dyDescent="0.2">
      <c r="B25" t="s">
        <v>74</v>
      </c>
      <c r="C25" s="12">
        <v>24</v>
      </c>
      <c r="D25" s="8">
        <v>9.64</v>
      </c>
      <c r="E25" s="12">
        <v>14</v>
      </c>
      <c r="F25" s="8">
        <v>8.33</v>
      </c>
      <c r="G25" s="12">
        <v>10</v>
      </c>
      <c r="H25" s="8">
        <v>12.66</v>
      </c>
      <c r="I25" s="12">
        <v>0</v>
      </c>
    </row>
    <row r="26" spans="2:9" ht="15" customHeight="1" x14ac:dyDescent="0.2">
      <c r="B26" t="s">
        <v>83</v>
      </c>
      <c r="C26" s="12">
        <v>22</v>
      </c>
      <c r="D26" s="8">
        <v>8.84</v>
      </c>
      <c r="E26" s="12">
        <v>11</v>
      </c>
      <c r="F26" s="8">
        <v>6.55</v>
      </c>
      <c r="G26" s="12">
        <v>11</v>
      </c>
      <c r="H26" s="8">
        <v>13.92</v>
      </c>
      <c r="I26" s="12">
        <v>0</v>
      </c>
    </row>
    <row r="27" spans="2:9" ht="15" customHeight="1" x14ac:dyDescent="0.2">
      <c r="B27" t="s">
        <v>93</v>
      </c>
      <c r="C27" s="12">
        <v>19</v>
      </c>
      <c r="D27" s="8">
        <v>7.63</v>
      </c>
      <c r="E27" s="12">
        <v>17</v>
      </c>
      <c r="F27" s="8">
        <v>10.119999999999999</v>
      </c>
      <c r="G27" s="12">
        <v>2</v>
      </c>
      <c r="H27" s="8">
        <v>2.5299999999999998</v>
      </c>
      <c r="I27" s="12">
        <v>0</v>
      </c>
    </row>
    <row r="28" spans="2:9" ht="15" customHeight="1" x14ac:dyDescent="0.2">
      <c r="B28" t="s">
        <v>89</v>
      </c>
      <c r="C28" s="12">
        <v>18</v>
      </c>
      <c r="D28" s="8">
        <v>7.23</v>
      </c>
      <c r="E28" s="12">
        <v>18</v>
      </c>
      <c r="F28" s="8">
        <v>10.71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88</v>
      </c>
      <c r="C29" s="12">
        <v>17</v>
      </c>
      <c r="D29" s="8">
        <v>6.83</v>
      </c>
      <c r="E29" s="12">
        <v>14</v>
      </c>
      <c r="F29" s="8">
        <v>8.33</v>
      </c>
      <c r="G29" s="12">
        <v>3</v>
      </c>
      <c r="H29" s="8">
        <v>3.8</v>
      </c>
      <c r="I29" s="12">
        <v>0</v>
      </c>
    </row>
    <row r="30" spans="2:9" ht="15" customHeight="1" x14ac:dyDescent="0.2">
      <c r="B30" t="s">
        <v>76</v>
      </c>
      <c r="C30" s="12">
        <v>13</v>
      </c>
      <c r="D30" s="8">
        <v>5.22</v>
      </c>
      <c r="E30" s="12">
        <v>9</v>
      </c>
      <c r="F30" s="8">
        <v>5.36</v>
      </c>
      <c r="G30" s="12">
        <v>4</v>
      </c>
      <c r="H30" s="8">
        <v>5.0599999999999996</v>
      </c>
      <c r="I30" s="12">
        <v>0</v>
      </c>
    </row>
    <row r="31" spans="2:9" ht="15" customHeight="1" x14ac:dyDescent="0.2">
      <c r="B31" t="s">
        <v>75</v>
      </c>
      <c r="C31" s="12">
        <v>10</v>
      </c>
      <c r="D31" s="8">
        <v>4.0199999999999996</v>
      </c>
      <c r="E31" s="12">
        <v>6</v>
      </c>
      <c r="F31" s="8">
        <v>3.57</v>
      </c>
      <c r="G31" s="12">
        <v>4</v>
      </c>
      <c r="H31" s="8">
        <v>5.0599999999999996</v>
      </c>
      <c r="I31" s="12">
        <v>0</v>
      </c>
    </row>
    <row r="32" spans="2:9" ht="15" customHeight="1" x14ac:dyDescent="0.2">
      <c r="B32" t="s">
        <v>82</v>
      </c>
      <c r="C32" s="12">
        <v>10</v>
      </c>
      <c r="D32" s="8">
        <v>4.0199999999999996</v>
      </c>
      <c r="E32" s="12">
        <v>7</v>
      </c>
      <c r="F32" s="8">
        <v>4.17</v>
      </c>
      <c r="G32" s="12">
        <v>3</v>
      </c>
      <c r="H32" s="8">
        <v>3.8</v>
      </c>
      <c r="I32" s="12">
        <v>0</v>
      </c>
    </row>
    <row r="33" spans="2:9" ht="15" customHeight="1" x14ac:dyDescent="0.2">
      <c r="B33" t="s">
        <v>90</v>
      </c>
      <c r="C33" s="12">
        <v>10</v>
      </c>
      <c r="D33" s="8">
        <v>4.0199999999999996</v>
      </c>
      <c r="E33" s="12">
        <v>8</v>
      </c>
      <c r="F33" s="8">
        <v>4.76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77</v>
      </c>
      <c r="C34" s="12">
        <v>6</v>
      </c>
      <c r="D34" s="8">
        <v>2.41</v>
      </c>
      <c r="E34" s="12">
        <v>5</v>
      </c>
      <c r="F34" s="8">
        <v>2.98</v>
      </c>
      <c r="G34" s="12">
        <v>1</v>
      </c>
      <c r="H34" s="8">
        <v>1.27</v>
      </c>
      <c r="I34" s="12">
        <v>0</v>
      </c>
    </row>
    <row r="35" spans="2:9" ht="15" customHeight="1" x14ac:dyDescent="0.2">
      <c r="B35" t="s">
        <v>92</v>
      </c>
      <c r="C35" s="12">
        <v>6</v>
      </c>
      <c r="D35" s="8">
        <v>2.41</v>
      </c>
      <c r="E35" s="12">
        <v>1</v>
      </c>
      <c r="F35" s="8">
        <v>0.6</v>
      </c>
      <c r="G35" s="12">
        <v>5</v>
      </c>
      <c r="H35" s="8">
        <v>6.33</v>
      </c>
      <c r="I35" s="12">
        <v>0</v>
      </c>
    </row>
    <row r="36" spans="2:9" ht="15" customHeight="1" x14ac:dyDescent="0.2">
      <c r="B36" t="s">
        <v>85</v>
      </c>
      <c r="C36" s="12">
        <v>5</v>
      </c>
      <c r="D36" s="8">
        <v>2.0099999999999998</v>
      </c>
      <c r="E36" s="12">
        <v>3</v>
      </c>
      <c r="F36" s="8">
        <v>1.79</v>
      </c>
      <c r="G36" s="12">
        <v>2</v>
      </c>
      <c r="H36" s="8">
        <v>2.5299999999999998</v>
      </c>
      <c r="I36" s="12">
        <v>0</v>
      </c>
    </row>
    <row r="37" spans="2:9" ht="15" customHeight="1" x14ac:dyDescent="0.2">
      <c r="B37" t="s">
        <v>86</v>
      </c>
      <c r="C37" s="12">
        <v>5</v>
      </c>
      <c r="D37" s="8">
        <v>2.0099999999999998</v>
      </c>
      <c r="E37" s="12">
        <v>3</v>
      </c>
      <c r="F37" s="8">
        <v>1.79</v>
      </c>
      <c r="G37" s="12">
        <v>2</v>
      </c>
      <c r="H37" s="8">
        <v>2.5299999999999998</v>
      </c>
      <c r="I37" s="12">
        <v>0</v>
      </c>
    </row>
    <row r="38" spans="2:9" ht="15" customHeight="1" x14ac:dyDescent="0.2">
      <c r="B38" t="s">
        <v>91</v>
      </c>
      <c r="C38" s="12">
        <v>5</v>
      </c>
      <c r="D38" s="8">
        <v>2.0099999999999998</v>
      </c>
      <c r="E38" s="12">
        <v>5</v>
      </c>
      <c r="F38" s="8">
        <v>2.98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109</v>
      </c>
      <c r="C39" s="12">
        <v>4</v>
      </c>
      <c r="D39" s="8">
        <v>1.61</v>
      </c>
      <c r="E39" s="12">
        <v>2</v>
      </c>
      <c r="F39" s="8">
        <v>1.19</v>
      </c>
      <c r="G39" s="12">
        <v>2</v>
      </c>
      <c r="H39" s="8">
        <v>2.5299999999999998</v>
      </c>
      <c r="I39" s="12">
        <v>0</v>
      </c>
    </row>
    <row r="40" spans="2:9" ht="15" customHeight="1" x14ac:dyDescent="0.2">
      <c r="B40" t="s">
        <v>101</v>
      </c>
      <c r="C40" s="12">
        <v>4</v>
      </c>
      <c r="D40" s="8">
        <v>1.61</v>
      </c>
      <c r="E40" s="12">
        <v>2</v>
      </c>
      <c r="F40" s="8">
        <v>1.19</v>
      </c>
      <c r="G40" s="12">
        <v>2</v>
      </c>
      <c r="H40" s="8">
        <v>2.5299999999999998</v>
      </c>
      <c r="I40" s="12">
        <v>0</v>
      </c>
    </row>
    <row r="41" spans="2:9" ht="15" customHeight="1" x14ac:dyDescent="0.2">
      <c r="B41" t="s">
        <v>78</v>
      </c>
      <c r="C41" s="12">
        <v>3</v>
      </c>
      <c r="D41" s="8">
        <v>1.2</v>
      </c>
      <c r="E41" s="12">
        <v>2</v>
      </c>
      <c r="F41" s="8">
        <v>1.19</v>
      </c>
      <c r="G41" s="12">
        <v>1</v>
      </c>
      <c r="H41" s="8">
        <v>1.27</v>
      </c>
      <c r="I41" s="12">
        <v>0</v>
      </c>
    </row>
    <row r="42" spans="2:9" ht="15" customHeight="1" x14ac:dyDescent="0.2">
      <c r="B42" t="s">
        <v>79</v>
      </c>
      <c r="C42" s="12">
        <v>3</v>
      </c>
      <c r="D42" s="8">
        <v>1.2</v>
      </c>
      <c r="E42" s="12">
        <v>0</v>
      </c>
      <c r="F42" s="8">
        <v>0</v>
      </c>
      <c r="G42" s="12">
        <v>3</v>
      </c>
      <c r="H42" s="8">
        <v>3.8</v>
      </c>
      <c r="I42" s="12">
        <v>0</v>
      </c>
    </row>
    <row r="43" spans="2:9" ht="15" customHeight="1" x14ac:dyDescent="0.2">
      <c r="B43" t="s">
        <v>98</v>
      </c>
      <c r="C43" s="12">
        <v>3</v>
      </c>
      <c r="D43" s="8">
        <v>1.2</v>
      </c>
      <c r="E43" s="12">
        <v>2</v>
      </c>
      <c r="F43" s="8">
        <v>1.19</v>
      </c>
      <c r="G43" s="12">
        <v>1</v>
      </c>
      <c r="H43" s="8">
        <v>1.27</v>
      </c>
      <c r="I43" s="12">
        <v>0</v>
      </c>
    </row>
    <row r="44" spans="2:9" ht="15" customHeight="1" x14ac:dyDescent="0.2">
      <c r="B44" t="s">
        <v>87</v>
      </c>
      <c r="C44" s="12">
        <v>3</v>
      </c>
      <c r="D44" s="8">
        <v>1.2</v>
      </c>
      <c r="E44" s="12">
        <v>2</v>
      </c>
      <c r="F44" s="8">
        <v>1.19</v>
      </c>
      <c r="G44" s="12">
        <v>1</v>
      </c>
      <c r="H44" s="8">
        <v>1.27</v>
      </c>
      <c r="I44" s="12">
        <v>0</v>
      </c>
    </row>
    <row r="47" spans="2:9" ht="33" customHeight="1" x14ac:dyDescent="0.2">
      <c r="B47" t="s">
        <v>283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154</v>
      </c>
      <c r="C48" s="12">
        <v>19</v>
      </c>
      <c r="D48" s="8">
        <v>7.63</v>
      </c>
      <c r="E48" s="12">
        <v>17</v>
      </c>
      <c r="F48" s="8">
        <v>10.119999999999999</v>
      </c>
      <c r="G48" s="12">
        <v>2</v>
      </c>
      <c r="H48" s="8">
        <v>2.5299999999999998</v>
      </c>
      <c r="I48" s="12">
        <v>0</v>
      </c>
    </row>
    <row r="49" spans="2:9" ht="15" customHeight="1" x14ac:dyDescent="0.2">
      <c r="B49" t="s">
        <v>140</v>
      </c>
      <c r="C49" s="12">
        <v>14</v>
      </c>
      <c r="D49" s="8">
        <v>5.62</v>
      </c>
      <c r="E49" s="12">
        <v>13</v>
      </c>
      <c r="F49" s="8">
        <v>7.74</v>
      </c>
      <c r="G49" s="12">
        <v>1</v>
      </c>
      <c r="H49" s="8">
        <v>1.27</v>
      </c>
      <c r="I49" s="12">
        <v>0</v>
      </c>
    </row>
    <row r="50" spans="2:9" ht="15" customHeight="1" x14ac:dyDescent="0.2">
      <c r="B50" t="s">
        <v>151</v>
      </c>
      <c r="C50" s="12">
        <v>10</v>
      </c>
      <c r="D50" s="8">
        <v>4.0199999999999996</v>
      </c>
      <c r="E50" s="12">
        <v>10</v>
      </c>
      <c r="F50" s="8">
        <v>5.95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135</v>
      </c>
      <c r="C51" s="12">
        <v>9</v>
      </c>
      <c r="D51" s="8">
        <v>3.61</v>
      </c>
      <c r="E51" s="12">
        <v>4</v>
      </c>
      <c r="F51" s="8">
        <v>2.38</v>
      </c>
      <c r="G51" s="12">
        <v>5</v>
      </c>
      <c r="H51" s="8">
        <v>6.33</v>
      </c>
      <c r="I51" s="12">
        <v>0</v>
      </c>
    </row>
    <row r="52" spans="2:9" ht="15" customHeight="1" x14ac:dyDescent="0.2">
      <c r="B52" t="s">
        <v>137</v>
      </c>
      <c r="C52" s="12">
        <v>9</v>
      </c>
      <c r="D52" s="8">
        <v>3.61</v>
      </c>
      <c r="E52" s="12">
        <v>7</v>
      </c>
      <c r="F52" s="8">
        <v>4.17</v>
      </c>
      <c r="G52" s="12">
        <v>2</v>
      </c>
      <c r="H52" s="8">
        <v>2.5299999999999998</v>
      </c>
      <c r="I52" s="12">
        <v>0</v>
      </c>
    </row>
    <row r="53" spans="2:9" ht="15" customHeight="1" x14ac:dyDescent="0.2">
      <c r="B53" t="s">
        <v>168</v>
      </c>
      <c r="C53" s="12">
        <v>9</v>
      </c>
      <c r="D53" s="8">
        <v>3.61</v>
      </c>
      <c r="E53" s="12">
        <v>0</v>
      </c>
      <c r="F53" s="8">
        <v>0</v>
      </c>
      <c r="G53" s="12">
        <v>9</v>
      </c>
      <c r="H53" s="8">
        <v>11.39</v>
      </c>
      <c r="I53" s="12">
        <v>0</v>
      </c>
    </row>
    <row r="54" spans="2:9" ht="15" customHeight="1" x14ac:dyDescent="0.2">
      <c r="B54" t="s">
        <v>138</v>
      </c>
      <c r="C54" s="12">
        <v>8</v>
      </c>
      <c r="D54" s="8">
        <v>3.21</v>
      </c>
      <c r="E54" s="12">
        <v>7</v>
      </c>
      <c r="F54" s="8">
        <v>4.17</v>
      </c>
      <c r="G54" s="12">
        <v>1</v>
      </c>
      <c r="H54" s="8">
        <v>1.27</v>
      </c>
      <c r="I54" s="12">
        <v>0</v>
      </c>
    </row>
    <row r="55" spans="2:9" ht="15" customHeight="1" x14ac:dyDescent="0.2">
      <c r="B55" t="s">
        <v>141</v>
      </c>
      <c r="C55" s="12">
        <v>8</v>
      </c>
      <c r="D55" s="8">
        <v>3.21</v>
      </c>
      <c r="E55" s="12">
        <v>6</v>
      </c>
      <c r="F55" s="8">
        <v>3.57</v>
      </c>
      <c r="G55" s="12">
        <v>2</v>
      </c>
      <c r="H55" s="8">
        <v>2.5299999999999998</v>
      </c>
      <c r="I55" s="12">
        <v>0</v>
      </c>
    </row>
    <row r="56" spans="2:9" ht="15" customHeight="1" x14ac:dyDescent="0.2">
      <c r="B56" t="s">
        <v>152</v>
      </c>
      <c r="C56" s="12">
        <v>8</v>
      </c>
      <c r="D56" s="8">
        <v>3.21</v>
      </c>
      <c r="E56" s="12">
        <v>8</v>
      </c>
      <c r="F56" s="8">
        <v>4.76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147</v>
      </c>
      <c r="C57" s="12">
        <v>7</v>
      </c>
      <c r="D57" s="8">
        <v>2.81</v>
      </c>
      <c r="E57" s="12">
        <v>5</v>
      </c>
      <c r="F57" s="8">
        <v>2.98</v>
      </c>
      <c r="G57" s="12">
        <v>2</v>
      </c>
      <c r="H57" s="8">
        <v>2.5299999999999998</v>
      </c>
      <c r="I57" s="12">
        <v>0</v>
      </c>
    </row>
    <row r="58" spans="2:9" ht="15" customHeight="1" x14ac:dyDescent="0.2">
      <c r="B58" t="s">
        <v>150</v>
      </c>
      <c r="C58" s="12">
        <v>6</v>
      </c>
      <c r="D58" s="8">
        <v>2.41</v>
      </c>
      <c r="E58" s="12">
        <v>6</v>
      </c>
      <c r="F58" s="8">
        <v>3.57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136</v>
      </c>
      <c r="C59" s="12">
        <v>4</v>
      </c>
      <c r="D59" s="8">
        <v>1.61</v>
      </c>
      <c r="E59" s="12">
        <v>2</v>
      </c>
      <c r="F59" s="8">
        <v>1.19</v>
      </c>
      <c r="G59" s="12">
        <v>2</v>
      </c>
      <c r="H59" s="8">
        <v>2.5299999999999998</v>
      </c>
      <c r="I59" s="12">
        <v>0</v>
      </c>
    </row>
    <row r="60" spans="2:9" ht="15" customHeight="1" x14ac:dyDescent="0.2">
      <c r="B60" t="s">
        <v>184</v>
      </c>
      <c r="C60" s="12">
        <v>4</v>
      </c>
      <c r="D60" s="8">
        <v>1.61</v>
      </c>
      <c r="E60" s="12">
        <v>3</v>
      </c>
      <c r="F60" s="8">
        <v>1.79</v>
      </c>
      <c r="G60" s="12">
        <v>1</v>
      </c>
      <c r="H60" s="8">
        <v>1.27</v>
      </c>
      <c r="I60" s="12">
        <v>0</v>
      </c>
    </row>
    <row r="61" spans="2:9" ht="15" customHeight="1" x14ac:dyDescent="0.2">
      <c r="B61" t="s">
        <v>213</v>
      </c>
      <c r="C61" s="12">
        <v>4</v>
      </c>
      <c r="D61" s="8">
        <v>1.61</v>
      </c>
      <c r="E61" s="12">
        <v>3</v>
      </c>
      <c r="F61" s="8">
        <v>1.79</v>
      </c>
      <c r="G61" s="12">
        <v>1</v>
      </c>
      <c r="H61" s="8">
        <v>1.27</v>
      </c>
      <c r="I61" s="12">
        <v>0</v>
      </c>
    </row>
    <row r="62" spans="2:9" ht="15" customHeight="1" x14ac:dyDescent="0.2">
      <c r="B62" t="s">
        <v>174</v>
      </c>
      <c r="C62" s="12">
        <v>4</v>
      </c>
      <c r="D62" s="8">
        <v>1.61</v>
      </c>
      <c r="E62" s="12">
        <v>4</v>
      </c>
      <c r="F62" s="8">
        <v>2.38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142</v>
      </c>
      <c r="C63" s="12">
        <v>4</v>
      </c>
      <c r="D63" s="8">
        <v>1.61</v>
      </c>
      <c r="E63" s="12">
        <v>4</v>
      </c>
      <c r="F63" s="8">
        <v>2.38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153</v>
      </c>
      <c r="C64" s="12">
        <v>4</v>
      </c>
      <c r="D64" s="8">
        <v>1.61</v>
      </c>
      <c r="E64" s="12">
        <v>4</v>
      </c>
      <c r="F64" s="8">
        <v>2.38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163</v>
      </c>
      <c r="C65" s="12">
        <v>3</v>
      </c>
      <c r="D65" s="8">
        <v>1.2</v>
      </c>
      <c r="E65" s="12">
        <v>2</v>
      </c>
      <c r="F65" s="8">
        <v>1.19</v>
      </c>
      <c r="G65" s="12">
        <v>1</v>
      </c>
      <c r="H65" s="8">
        <v>1.27</v>
      </c>
      <c r="I65" s="12">
        <v>0</v>
      </c>
    </row>
    <row r="66" spans="2:9" ht="15" customHeight="1" x14ac:dyDescent="0.2">
      <c r="B66" t="s">
        <v>186</v>
      </c>
      <c r="C66" s="12">
        <v>3</v>
      </c>
      <c r="D66" s="8">
        <v>1.2</v>
      </c>
      <c r="E66" s="12">
        <v>2</v>
      </c>
      <c r="F66" s="8">
        <v>1.19</v>
      </c>
      <c r="G66" s="12">
        <v>1</v>
      </c>
      <c r="H66" s="8">
        <v>1.27</v>
      </c>
      <c r="I66" s="12">
        <v>0</v>
      </c>
    </row>
    <row r="67" spans="2:9" ht="15" customHeight="1" x14ac:dyDescent="0.2">
      <c r="B67" t="s">
        <v>217</v>
      </c>
      <c r="C67" s="12">
        <v>3</v>
      </c>
      <c r="D67" s="8">
        <v>1.2</v>
      </c>
      <c r="E67" s="12">
        <v>0</v>
      </c>
      <c r="F67" s="8">
        <v>0</v>
      </c>
      <c r="G67" s="12">
        <v>3</v>
      </c>
      <c r="H67" s="8">
        <v>3.8</v>
      </c>
      <c r="I67" s="12">
        <v>0</v>
      </c>
    </row>
    <row r="68" spans="2:9" ht="15" customHeight="1" x14ac:dyDescent="0.2">
      <c r="B68" t="s">
        <v>218</v>
      </c>
      <c r="C68" s="12">
        <v>3</v>
      </c>
      <c r="D68" s="8">
        <v>1.2</v>
      </c>
      <c r="E68" s="12">
        <v>1</v>
      </c>
      <c r="F68" s="8">
        <v>0.6</v>
      </c>
      <c r="G68" s="12">
        <v>2</v>
      </c>
      <c r="H68" s="8">
        <v>2.5299999999999998</v>
      </c>
      <c r="I68" s="12">
        <v>0</v>
      </c>
    </row>
    <row r="69" spans="2:9" ht="15" customHeight="1" x14ac:dyDescent="0.2">
      <c r="B69" t="s">
        <v>166</v>
      </c>
      <c r="C69" s="12">
        <v>3</v>
      </c>
      <c r="D69" s="8">
        <v>1.2</v>
      </c>
      <c r="E69" s="12">
        <v>3</v>
      </c>
      <c r="F69" s="8">
        <v>1.79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202</v>
      </c>
      <c r="C70" s="12">
        <v>3</v>
      </c>
      <c r="D70" s="8">
        <v>1.2</v>
      </c>
      <c r="E70" s="12">
        <v>3</v>
      </c>
      <c r="F70" s="8">
        <v>1.79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143</v>
      </c>
      <c r="C71" s="12">
        <v>3</v>
      </c>
      <c r="D71" s="8">
        <v>1.2</v>
      </c>
      <c r="E71" s="12">
        <v>2</v>
      </c>
      <c r="F71" s="8">
        <v>1.19</v>
      </c>
      <c r="G71" s="12">
        <v>1</v>
      </c>
      <c r="H71" s="8">
        <v>1.27</v>
      </c>
      <c r="I71" s="12">
        <v>0</v>
      </c>
    </row>
    <row r="72" spans="2:9" ht="15" customHeight="1" x14ac:dyDescent="0.2">
      <c r="B72" t="s">
        <v>145</v>
      </c>
      <c r="C72" s="12">
        <v>3</v>
      </c>
      <c r="D72" s="8">
        <v>1.2</v>
      </c>
      <c r="E72" s="12">
        <v>3</v>
      </c>
      <c r="F72" s="8">
        <v>1.79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159</v>
      </c>
      <c r="C73" s="12">
        <v>3</v>
      </c>
      <c r="D73" s="8">
        <v>1.2</v>
      </c>
      <c r="E73" s="12">
        <v>3</v>
      </c>
      <c r="F73" s="8">
        <v>1.79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180</v>
      </c>
      <c r="C74" s="12">
        <v>3</v>
      </c>
      <c r="D74" s="8">
        <v>1.2</v>
      </c>
      <c r="E74" s="12">
        <v>0</v>
      </c>
      <c r="F74" s="8">
        <v>0</v>
      </c>
      <c r="G74" s="12">
        <v>3</v>
      </c>
      <c r="H74" s="8">
        <v>3.8</v>
      </c>
      <c r="I74" s="12">
        <v>0</v>
      </c>
    </row>
    <row r="76" spans="2:9" ht="15" customHeight="1" x14ac:dyDescent="0.2">
      <c r="B76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556C-2AA3-43D8-B1BC-BFEB9E60D5E2}">
  <sheetPr>
    <pageSetUpPr fitToPage="1"/>
  </sheetPr>
  <dimension ref="A1:I122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133</v>
      </c>
      <c r="B1" s="3" t="s">
        <v>134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89</v>
      </c>
      <c r="C3" s="4">
        <v>4459</v>
      </c>
      <c r="D3" s="8">
        <v>10.78</v>
      </c>
      <c r="E3" s="4">
        <v>3878</v>
      </c>
      <c r="F3" s="8">
        <v>18.260000000000002</v>
      </c>
      <c r="G3" s="4">
        <v>575</v>
      </c>
      <c r="H3" s="8">
        <v>2.94</v>
      </c>
      <c r="I3" s="4">
        <v>1</v>
      </c>
    </row>
    <row r="4" spans="1:9" x14ac:dyDescent="0.2">
      <c r="A4" s="2">
        <v>2</v>
      </c>
      <c r="B4" s="1" t="s">
        <v>88</v>
      </c>
      <c r="C4" s="4">
        <v>4098</v>
      </c>
      <c r="D4" s="8">
        <v>9.9</v>
      </c>
      <c r="E4" s="4">
        <v>3478</v>
      </c>
      <c r="F4" s="8">
        <v>16.38</v>
      </c>
      <c r="G4" s="4">
        <v>618</v>
      </c>
      <c r="H4" s="8">
        <v>3.15</v>
      </c>
      <c r="I4" s="4">
        <v>2</v>
      </c>
    </row>
    <row r="5" spans="1:9" x14ac:dyDescent="0.2">
      <c r="A5" s="2">
        <v>3</v>
      </c>
      <c r="B5" s="1" t="s">
        <v>83</v>
      </c>
      <c r="C5" s="4">
        <v>3057</v>
      </c>
      <c r="D5" s="8">
        <v>7.39</v>
      </c>
      <c r="E5" s="4">
        <v>1440</v>
      </c>
      <c r="F5" s="8">
        <v>6.78</v>
      </c>
      <c r="G5" s="4">
        <v>1603</v>
      </c>
      <c r="H5" s="8">
        <v>8.18</v>
      </c>
      <c r="I5" s="4">
        <v>14</v>
      </c>
    </row>
    <row r="6" spans="1:9" x14ac:dyDescent="0.2">
      <c r="A6" s="2">
        <v>4</v>
      </c>
      <c r="B6" s="1" t="s">
        <v>74</v>
      </c>
      <c r="C6" s="4">
        <v>2856</v>
      </c>
      <c r="D6" s="8">
        <v>6.9</v>
      </c>
      <c r="E6" s="4">
        <v>747</v>
      </c>
      <c r="F6" s="8">
        <v>3.52</v>
      </c>
      <c r="G6" s="4">
        <v>2109</v>
      </c>
      <c r="H6" s="8">
        <v>10.77</v>
      </c>
      <c r="I6" s="4">
        <v>0</v>
      </c>
    </row>
    <row r="7" spans="1:9" x14ac:dyDescent="0.2">
      <c r="A7" s="2">
        <v>5</v>
      </c>
      <c r="B7" s="1" t="s">
        <v>85</v>
      </c>
      <c r="C7" s="4">
        <v>2617</v>
      </c>
      <c r="D7" s="8">
        <v>6.32</v>
      </c>
      <c r="E7" s="4">
        <v>961</v>
      </c>
      <c r="F7" s="8">
        <v>4.53</v>
      </c>
      <c r="G7" s="4">
        <v>1642</v>
      </c>
      <c r="H7" s="8">
        <v>8.3800000000000008</v>
      </c>
      <c r="I7" s="4">
        <v>5</v>
      </c>
    </row>
    <row r="8" spans="1:9" x14ac:dyDescent="0.2">
      <c r="A8" s="2">
        <v>6</v>
      </c>
      <c r="B8" s="1" t="s">
        <v>81</v>
      </c>
      <c r="C8" s="4">
        <v>2374</v>
      </c>
      <c r="D8" s="8">
        <v>5.74</v>
      </c>
      <c r="E8" s="4">
        <v>1635</v>
      </c>
      <c r="F8" s="8">
        <v>7.7</v>
      </c>
      <c r="G8" s="4">
        <v>721</v>
      </c>
      <c r="H8" s="8">
        <v>3.68</v>
      </c>
      <c r="I8" s="4">
        <v>17</v>
      </c>
    </row>
    <row r="9" spans="1:9" x14ac:dyDescent="0.2">
      <c r="A9" s="2">
        <v>7</v>
      </c>
      <c r="B9" s="1" t="s">
        <v>75</v>
      </c>
      <c r="C9" s="4">
        <v>1616</v>
      </c>
      <c r="D9" s="8">
        <v>3.91</v>
      </c>
      <c r="E9" s="4">
        <v>726</v>
      </c>
      <c r="F9" s="8">
        <v>3.42</v>
      </c>
      <c r="G9" s="4">
        <v>890</v>
      </c>
      <c r="H9" s="8">
        <v>4.54</v>
      </c>
      <c r="I9" s="4">
        <v>0</v>
      </c>
    </row>
    <row r="10" spans="1:9" x14ac:dyDescent="0.2">
      <c r="A10" s="2">
        <v>8</v>
      </c>
      <c r="B10" s="1" t="s">
        <v>82</v>
      </c>
      <c r="C10" s="4">
        <v>1508</v>
      </c>
      <c r="D10" s="8">
        <v>3.64</v>
      </c>
      <c r="E10" s="4">
        <v>960</v>
      </c>
      <c r="F10" s="8">
        <v>4.5199999999999996</v>
      </c>
      <c r="G10" s="4">
        <v>548</v>
      </c>
      <c r="H10" s="8">
        <v>2.8</v>
      </c>
      <c r="I10" s="4">
        <v>0</v>
      </c>
    </row>
    <row r="11" spans="1:9" x14ac:dyDescent="0.2">
      <c r="A11" s="2">
        <v>9</v>
      </c>
      <c r="B11" s="1" t="s">
        <v>76</v>
      </c>
      <c r="C11" s="4">
        <v>1375</v>
      </c>
      <c r="D11" s="8">
        <v>3.32</v>
      </c>
      <c r="E11" s="4">
        <v>414</v>
      </c>
      <c r="F11" s="8">
        <v>1.95</v>
      </c>
      <c r="G11" s="4">
        <v>961</v>
      </c>
      <c r="H11" s="8">
        <v>4.91</v>
      </c>
      <c r="I11" s="4">
        <v>0</v>
      </c>
    </row>
    <row r="12" spans="1:9" x14ac:dyDescent="0.2">
      <c r="A12" s="2">
        <v>10</v>
      </c>
      <c r="B12" s="1" t="s">
        <v>90</v>
      </c>
      <c r="C12" s="4">
        <v>1304</v>
      </c>
      <c r="D12" s="8">
        <v>3.15</v>
      </c>
      <c r="E12" s="4">
        <v>911</v>
      </c>
      <c r="F12" s="8">
        <v>4.29</v>
      </c>
      <c r="G12" s="4">
        <v>290</v>
      </c>
      <c r="H12" s="8">
        <v>1.48</v>
      </c>
      <c r="I12" s="4">
        <v>7</v>
      </c>
    </row>
    <row r="13" spans="1:9" x14ac:dyDescent="0.2">
      <c r="A13" s="2">
        <v>11</v>
      </c>
      <c r="B13" s="1" t="s">
        <v>86</v>
      </c>
      <c r="C13" s="4">
        <v>1278</v>
      </c>
      <c r="D13" s="8">
        <v>3.09</v>
      </c>
      <c r="E13" s="4">
        <v>818</v>
      </c>
      <c r="F13" s="8">
        <v>3.85</v>
      </c>
      <c r="G13" s="4">
        <v>454</v>
      </c>
      <c r="H13" s="8">
        <v>2.3199999999999998</v>
      </c>
      <c r="I13" s="4">
        <v>6</v>
      </c>
    </row>
    <row r="14" spans="1:9" x14ac:dyDescent="0.2">
      <c r="A14" s="2">
        <v>12</v>
      </c>
      <c r="B14" s="1" t="s">
        <v>91</v>
      </c>
      <c r="C14" s="4">
        <v>1249</v>
      </c>
      <c r="D14" s="8">
        <v>3.02</v>
      </c>
      <c r="E14" s="4">
        <v>1089</v>
      </c>
      <c r="F14" s="8">
        <v>5.13</v>
      </c>
      <c r="G14" s="4">
        <v>158</v>
      </c>
      <c r="H14" s="8">
        <v>0.81</v>
      </c>
      <c r="I14" s="4">
        <v>0</v>
      </c>
    </row>
    <row r="15" spans="1:9" x14ac:dyDescent="0.2">
      <c r="A15" s="2">
        <v>13</v>
      </c>
      <c r="B15" s="1" t="s">
        <v>80</v>
      </c>
      <c r="C15" s="4">
        <v>1102</v>
      </c>
      <c r="D15" s="8">
        <v>2.66</v>
      </c>
      <c r="E15" s="4">
        <v>423</v>
      </c>
      <c r="F15" s="8">
        <v>1.99</v>
      </c>
      <c r="G15" s="4">
        <v>677</v>
      </c>
      <c r="H15" s="8">
        <v>3.46</v>
      </c>
      <c r="I15" s="4">
        <v>2</v>
      </c>
    </row>
    <row r="16" spans="1:9" x14ac:dyDescent="0.2">
      <c r="A16" s="2">
        <v>14</v>
      </c>
      <c r="B16" s="1" t="s">
        <v>87</v>
      </c>
      <c r="C16" s="4">
        <v>1003</v>
      </c>
      <c r="D16" s="8">
        <v>2.42</v>
      </c>
      <c r="E16" s="4">
        <v>315</v>
      </c>
      <c r="F16" s="8">
        <v>1.48</v>
      </c>
      <c r="G16" s="4">
        <v>676</v>
      </c>
      <c r="H16" s="8">
        <v>3.45</v>
      </c>
      <c r="I16" s="4">
        <v>0</v>
      </c>
    </row>
    <row r="17" spans="1:9" x14ac:dyDescent="0.2">
      <c r="A17" s="2">
        <v>15</v>
      </c>
      <c r="B17" s="1" t="s">
        <v>93</v>
      </c>
      <c r="C17" s="4">
        <v>772</v>
      </c>
      <c r="D17" s="8">
        <v>1.87</v>
      </c>
      <c r="E17" s="4">
        <v>586</v>
      </c>
      <c r="F17" s="8">
        <v>2.76</v>
      </c>
      <c r="G17" s="4">
        <v>186</v>
      </c>
      <c r="H17" s="8">
        <v>0.95</v>
      </c>
      <c r="I17" s="4">
        <v>0</v>
      </c>
    </row>
    <row r="18" spans="1:9" x14ac:dyDescent="0.2">
      <c r="A18" s="2">
        <v>16</v>
      </c>
      <c r="B18" s="1" t="s">
        <v>84</v>
      </c>
      <c r="C18" s="4">
        <v>719</v>
      </c>
      <c r="D18" s="8">
        <v>1.74</v>
      </c>
      <c r="E18" s="4">
        <v>154</v>
      </c>
      <c r="F18" s="8">
        <v>0.73</v>
      </c>
      <c r="G18" s="4">
        <v>563</v>
      </c>
      <c r="H18" s="8">
        <v>2.87</v>
      </c>
      <c r="I18" s="4">
        <v>2</v>
      </c>
    </row>
    <row r="19" spans="1:9" x14ac:dyDescent="0.2">
      <c r="A19" s="2">
        <v>17</v>
      </c>
      <c r="B19" s="1" t="s">
        <v>92</v>
      </c>
      <c r="C19" s="4">
        <v>695</v>
      </c>
      <c r="D19" s="8">
        <v>1.68</v>
      </c>
      <c r="E19" s="4">
        <v>9</v>
      </c>
      <c r="F19" s="8">
        <v>0.04</v>
      </c>
      <c r="G19" s="4">
        <v>605</v>
      </c>
      <c r="H19" s="8">
        <v>3.09</v>
      </c>
      <c r="I19" s="4">
        <v>4</v>
      </c>
    </row>
    <row r="20" spans="1:9" x14ac:dyDescent="0.2">
      <c r="A20" s="2">
        <v>18</v>
      </c>
      <c r="B20" s="1" t="s">
        <v>79</v>
      </c>
      <c r="C20" s="4">
        <v>571</v>
      </c>
      <c r="D20" s="8">
        <v>1.38</v>
      </c>
      <c r="E20" s="4">
        <v>45</v>
      </c>
      <c r="F20" s="8">
        <v>0.21</v>
      </c>
      <c r="G20" s="4">
        <v>526</v>
      </c>
      <c r="H20" s="8">
        <v>2.69</v>
      </c>
      <c r="I20" s="4">
        <v>0</v>
      </c>
    </row>
    <row r="21" spans="1:9" x14ac:dyDescent="0.2">
      <c r="A21" s="2">
        <v>19</v>
      </c>
      <c r="B21" s="1" t="s">
        <v>77</v>
      </c>
      <c r="C21" s="4">
        <v>551</v>
      </c>
      <c r="D21" s="8">
        <v>1.33</v>
      </c>
      <c r="E21" s="4">
        <v>222</v>
      </c>
      <c r="F21" s="8">
        <v>1.05</v>
      </c>
      <c r="G21" s="4">
        <v>323</v>
      </c>
      <c r="H21" s="8">
        <v>1.65</v>
      </c>
      <c r="I21" s="4">
        <v>6</v>
      </c>
    </row>
    <row r="22" spans="1:9" x14ac:dyDescent="0.2">
      <c r="A22" s="2">
        <v>20</v>
      </c>
      <c r="B22" s="1" t="s">
        <v>78</v>
      </c>
      <c r="C22" s="4">
        <v>543</v>
      </c>
      <c r="D22" s="8">
        <v>1.31</v>
      </c>
      <c r="E22" s="4">
        <v>131</v>
      </c>
      <c r="F22" s="8">
        <v>0.62</v>
      </c>
      <c r="G22" s="4">
        <v>411</v>
      </c>
      <c r="H22" s="8">
        <v>2.1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89</v>
      </c>
      <c r="C25" s="4">
        <v>1652</v>
      </c>
      <c r="D25" s="8">
        <v>9.9499999999999993</v>
      </c>
      <c r="E25" s="4">
        <v>1381</v>
      </c>
      <c r="F25" s="8">
        <v>19.73</v>
      </c>
      <c r="G25" s="4">
        <v>271</v>
      </c>
      <c r="H25" s="8">
        <v>2.87</v>
      </c>
      <c r="I25" s="4">
        <v>0</v>
      </c>
    </row>
    <row r="26" spans="1:9" x14ac:dyDescent="0.2">
      <c r="A26" s="2">
        <v>2</v>
      </c>
      <c r="B26" s="1" t="s">
        <v>88</v>
      </c>
      <c r="C26" s="4">
        <v>1636</v>
      </c>
      <c r="D26" s="8">
        <v>9.86</v>
      </c>
      <c r="E26" s="4">
        <v>1312</v>
      </c>
      <c r="F26" s="8">
        <v>18.739999999999998</v>
      </c>
      <c r="G26" s="4">
        <v>324</v>
      </c>
      <c r="H26" s="8">
        <v>3.43</v>
      </c>
      <c r="I26" s="4">
        <v>0</v>
      </c>
    </row>
    <row r="27" spans="1:9" x14ac:dyDescent="0.2">
      <c r="A27" s="2">
        <v>3</v>
      </c>
      <c r="B27" s="1" t="s">
        <v>85</v>
      </c>
      <c r="C27" s="4">
        <v>1555</v>
      </c>
      <c r="D27" s="8">
        <v>9.3699999999999992</v>
      </c>
      <c r="E27" s="4">
        <v>352</v>
      </c>
      <c r="F27" s="8">
        <v>5.03</v>
      </c>
      <c r="G27" s="4">
        <v>1196</v>
      </c>
      <c r="H27" s="8">
        <v>12.65</v>
      </c>
      <c r="I27" s="4">
        <v>5</v>
      </c>
    </row>
    <row r="28" spans="1:9" x14ac:dyDescent="0.2">
      <c r="A28" s="2">
        <v>4</v>
      </c>
      <c r="B28" s="1" t="s">
        <v>83</v>
      </c>
      <c r="C28" s="4">
        <v>1028</v>
      </c>
      <c r="D28" s="8">
        <v>6.19</v>
      </c>
      <c r="E28" s="4">
        <v>424</v>
      </c>
      <c r="F28" s="8">
        <v>6.06</v>
      </c>
      <c r="G28" s="4">
        <v>603</v>
      </c>
      <c r="H28" s="8">
        <v>6.38</v>
      </c>
      <c r="I28" s="4">
        <v>1</v>
      </c>
    </row>
    <row r="29" spans="1:9" x14ac:dyDescent="0.2">
      <c r="A29" s="2">
        <v>5</v>
      </c>
      <c r="B29" s="1" t="s">
        <v>74</v>
      </c>
      <c r="C29" s="4">
        <v>977</v>
      </c>
      <c r="D29" s="8">
        <v>5.89</v>
      </c>
      <c r="E29" s="4">
        <v>124</v>
      </c>
      <c r="F29" s="8">
        <v>1.77</v>
      </c>
      <c r="G29" s="4">
        <v>853</v>
      </c>
      <c r="H29" s="8">
        <v>9.02</v>
      </c>
      <c r="I29" s="4">
        <v>0</v>
      </c>
    </row>
    <row r="30" spans="1:9" x14ac:dyDescent="0.2">
      <c r="A30" s="2">
        <v>6</v>
      </c>
      <c r="B30" s="1" t="s">
        <v>86</v>
      </c>
      <c r="C30" s="4">
        <v>765</v>
      </c>
      <c r="D30" s="8">
        <v>4.6100000000000003</v>
      </c>
      <c r="E30" s="4">
        <v>452</v>
      </c>
      <c r="F30" s="8">
        <v>6.46</v>
      </c>
      <c r="G30" s="4">
        <v>312</v>
      </c>
      <c r="H30" s="8">
        <v>3.3</v>
      </c>
      <c r="I30" s="4">
        <v>1</v>
      </c>
    </row>
    <row r="31" spans="1:9" x14ac:dyDescent="0.2">
      <c r="A31" s="2">
        <v>7</v>
      </c>
      <c r="B31" s="1" t="s">
        <v>81</v>
      </c>
      <c r="C31" s="4">
        <v>630</v>
      </c>
      <c r="D31" s="8">
        <v>3.8</v>
      </c>
      <c r="E31" s="4">
        <v>372</v>
      </c>
      <c r="F31" s="8">
        <v>5.31</v>
      </c>
      <c r="G31" s="4">
        <v>257</v>
      </c>
      <c r="H31" s="8">
        <v>2.72</v>
      </c>
      <c r="I31" s="4">
        <v>1</v>
      </c>
    </row>
    <row r="32" spans="1:9" x14ac:dyDescent="0.2">
      <c r="A32" s="2">
        <v>8</v>
      </c>
      <c r="B32" s="1" t="s">
        <v>76</v>
      </c>
      <c r="C32" s="4">
        <v>579</v>
      </c>
      <c r="D32" s="8">
        <v>3.49</v>
      </c>
      <c r="E32" s="4">
        <v>94</v>
      </c>
      <c r="F32" s="8">
        <v>1.34</v>
      </c>
      <c r="G32" s="4">
        <v>485</v>
      </c>
      <c r="H32" s="8">
        <v>5.13</v>
      </c>
      <c r="I32" s="4">
        <v>0</v>
      </c>
    </row>
    <row r="33" spans="1:9" x14ac:dyDescent="0.2">
      <c r="A33" s="2">
        <v>9</v>
      </c>
      <c r="B33" s="1" t="s">
        <v>75</v>
      </c>
      <c r="C33" s="4">
        <v>578</v>
      </c>
      <c r="D33" s="8">
        <v>3.48</v>
      </c>
      <c r="E33" s="4">
        <v>148</v>
      </c>
      <c r="F33" s="8">
        <v>2.11</v>
      </c>
      <c r="G33" s="4">
        <v>430</v>
      </c>
      <c r="H33" s="8">
        <v>4.55</v>
      </c>
      <c r="I33" s="4">
        <v>0</v>
      </c>
    </row>
    <row r="34" spans="1:9" x14ac:dyDescent="0.2">
      <c r="A34" s="2">
        <v>10</v>
      </c>
      <c r="B34" s="1" t="s">
        <v>90</v>
      </c>
      <c r="C34" s="4">
        <v>572</v>
      </c>
      <c r="D34" s="8">
        <v>3.45</v>
      </c>
      <c r="E34" s="4">
        <v>391</v>
      </c>
      <c r="F34" s="8">
        <v>5.59</v>
      </c>
      <c r="G34" s="4">
        <v>168</v>
      </c>
      <c r="H34" s="8">
        <v>1.78</v>
      </c>
      <c r="I34" s="4">
        <v>2</v>
      </c>
    </row>
    <row r="35" spans="1:9" x14ac:dyDescent="0.2">
      <c r="A35" s="2">
        <v>11</v>
      </c>
      <c r="B35" s="1" t="s">
        <v>80</v>
      </c>
      <c r="C35" s="4">
        <v>533</v>
      </c>
      <c r="D35" s="8">
        <v>3.21</v>
      </c>
      <c r="E35" s="4">
        <v>173</v>
      </c>
      <c r="F35" s="8">
        <v>2.4700000000000002</v>
      </c>
      <c r="G35" s="4">
        <v>360</v>
      </c>
      <c r="H35" s="8">
        <v>3.81</v>
      </c>
      <c r="I35" s="4">
        <v>0</v>
      </c>
    </row>
    <row r="36" spans="1:9" x14ac:dyDescent="0.2">
      <c r="A36" s="2">
        <v>12</v>
      </c>
      <c r="B36" s="1" t="s">
        <v>91</v>
      </c>
      <c r="C36" s="4">
        <v>510</v>
      </c>
      <c r="D36" s="8">
        <v>3.07</v>
      </c>
      <c r="E36" s="4">
        <v>432</v>
      </c>
      <c r="F36" s="8">
        <v>6.17</v>
      </c>
      <c r="G36" s="4">
        <v>78</v>
      </c>
      <c r="H36" s="8">
        <v>0.82</v>
      </c>
      <c r="I36" s="4">
        <v>0</v>
      </c>
    </row>
    <row r="37" spans="1:9" x14ac:dyDescent="0.2">
      <c r="A37" s="2">
        <v>13</v>
      </c>
      <c r="B37" s="1" t="s">
        <v>87</v>
      </c>
      <c r="C37" s="4">
        <v>498</v>
      </c>
      <c r="D37" s="8">
        <v>3</v>
      </c>
      <c r="E37" s="4">
        <v>116</v>
      </c>
      <c r="F37" s="8">
        <v>1.66</v>
      </c>
      <c r="G37" s="4">
        <v>379</v>
      </c>
      <c r="H37" s="8">
        <v>4.01</v>
      </c>
      <c r="I37" s="4">
        <v>0</v>
      </c>
    </row>
    <row r="38" spans="1:9" x14ac:dyDescent="0.2">
      <c r="A38" s="2">
        <v>14</v>
      </c>
      <c r="B38" s="1" t="s">
        <v>82</v>
      </c>
      <c r="C38" s="4">
        <v>495</v>
      </c>
      <c r="D38" s="8">
        <v>2.98</v>
      </c>
      <c r="E38" s="4">
        <v>273</v>
      </c>
      <c r="F38" s="8">
        <v>3.9</v>
      </c>
      <c r="G38" s="4">
        <v>222</v>
      </c>
      <c r="H38" s="8">
        <v>2.35</v>
      </c>
      <c r="I38" s="4">
        <v>0</v>
      </c>
    </row>
    <row r="39" spans="1:9" x14ac:dyDescent="0.2">
      <c r="A39" s="2">
        <v>15</v>
      </c>
      <c r="B39" s="1" t="s">
        <v>84</v>
      </c>
      <c r="C39" s="4">
        <v>467</v>
      </c>
      <c r="D39" s="8">
        <v>2.81</v>
      </c>
      <c r="E39" s="4">
        <v>71</v>
      </c>
      <c r="F39" s="8">
        <v>1.01</v>
      </c>
      <c r="G39" s="4">
        <v>395</v>
      </c>
      <c r="H39" s="8">
        <v>4.18</v>
      </c>
      <c r="I39" s="4">
        <v>1</v>
      </c>
    </row>
    <row r="40" spans="1:9" x14ac:dyDescent="0.2">
      <c r="A40" s="2">
        <v>16</v>
      </c>
      <c r="B40" s="1" t="s">
        <v>79</v>
      </c>
      <c r="C40" s="4">
        <v>328</v>
      </c>
      <c r="D40" s="8">
        <v>1.98</v>
      </c>
      <c r="E40" s="4">
        <v>13</v>
      </c>
      <c r="F40" s="8">
        <v>0.19</v>
      </c>
      <c r="G40" s="4">
        <v>315</v>
      </c>
      <c r="H40" s="8">
        <v>3.33</v>
      </c>
      <c r="I40" s="4">
        <v>0</v>
      </c>
    </row>
    <row r="41" spans="1:9" x14ac:dyDescent="0.2">
      <c r="A41" s="2">
        <v>17</v>
      </c>
      <c r="B41" s="1" t="s">
        <v>94</v>
      </c>
      <c r="C41" s="4">
        <v>272</v>
      </c>
      <c r="D41" s="8">
        <v>1.64</v>
      </c>
      <c r="E41" s="4">
        <v>36</v>
      </c>
      <c r="F41" s="8">
        <v>0.51</v>
      </c>
      <c r="G41" s="4">
        <v>236</v>
      </c>
      <c r="H41" s="8">
        <v>2.5</v>
      </c>
      <c r="I41" s="4">
        <v>0</v>
      </c>
    </row>
    <row r="42" spans="1:9" x14ac:dyDescent="0.2">
      <c r="A42" s="2">
        <v>18</v>
      </c>
      <c r="B42" s="1" t="s">
        <v>92</v>
      </c>
      <c r="C42" s="4">
        <v>239</v>
      </c>
      <c r="D42" s="8">
        <v>1.44</v>
      </c>
      <c r="E42" s="4">
        <v>5</v>
      </c>
      <c r="F42" s="8">
        <v>7.0000000000000007E-2</v>
      </c>
      <c r="G42" s="4">
        <v>197</v>
      </c>
      <c r="H42" s="8">
        <v>2.08</v>
      </c>
      <c r="I42" s="4">
        <v>0</v>
      </c>
    </row>
    <row r="43" spans="1:9" x14ac:dyDescent="0.2">
      <c r="A43" s="2">
        <v>19</v>
      </c>
      <c r="B43" s="1" t="s">
        <v>95</v>
      </c>
      <c r="C43" s="4">
        <v>234</v>
      </c>
      <c r="D43" s="8">
        <v>1.41</v>
      </c>
      <c r="E43" s="4">
        <v>17</v>
      </c>
      <c r="F43" s="8">
        <v>0.24</v>
      </c>
      <c r="G43" s="4">
        <v>207</v>
      </c>
      <c r="H43" s="8">
        <v>2.19</v>
      </c>
      <c r="I43" s="4">
        <v>10</v>
      </c>
    </row>
    <row r="44" spans="1:9" x14ac:dyDescent="0.2">
      <c r="A44" s="2">
        <v>20</v>
      </c>
      <c r="B44" s="1" t="s">
        <v>93</v>
      </c>
      <c r="C44" s="4">
        <v>219</v>
      </c>
      <c r="D44" s="8">
        <v>1.32</v>
      </c>
      <c r="E44" s="4">
        <v>140</v>
      </c>
      <c r="F44" s="8">
        <v>2</v>
      </c>
      <c r="G44" s="4">
        <v>79</v>
      </c>
      <c r="H44" s="8">
        <v>0.84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88</v>
      </c>
      <c r="C47" s="4">
        <v>1101</v>
      </c>
      <c r="D47" s="8">
        <v>17.43</v>
      </c>
      <c r="E47" s="4">
        <v>874</v>
      </c>
      <c r="F47" s="8">
        <v>31.67</v>
      </c>
      <c r="G47" s="4">
        <v>227</v>
      </c>
      <c r="H47" s="8">
        <v>6.44</v>
      </c>
      <c r="I47" s="4">
        <v>0</v>
      </c>
    </row>
    <row r="48" spans="1:9" x14ac:dyDescent="0.2">
      <c r="A48" s="2">
        <v>2</v>
      </c>
      <c r="B48" s="1" t="s">
        <v>85</v>
      </c>
      <c r="C48" s="4">
        <v>719</v>
      </c>
      <c r="D48" s="8">
        <v>11.38</v>
      </c>
      <c r="E48" s="4">
        <v>165</v>
      </c>
      <c r="F48" s="8">
        <v>5.98</v>
      </c>
      <c r="G48" s="4">
        <v>553</v>
      </c>
      <c r="H48" s="8">
        <v>15.68</v>
      </c>
      <c r="I48" s="4">
        <v>1</v>
      </c>
    </row>
    <row r="49" spans="1:9" x14ac:dyDescent="0.2">
      <c r="A49" s="2">
        <v>3</v>
      </c>
      <c r="B49" s="1" t="s">
        <v>89</v>
      </c>
      <c r="C49" s="4">
        <v>579</v>
      </c>
      <c r="D49" s="8">
        <v>9.17</v>
      </c>
      <c r="E49" s="4">
        <v>477</v>
      </c>
      <c r="F49" s="8">
        <v>17.28</v>
      </c>
      <c r="G49" s="4">
        <v>102</v>
      </c>
      <c r="H49" s="8">
        <v>2.89</v>
      </c>
      <c r="I49" s="4">
        <v>0</v>
      </c>
    </row>
    <row r="50" spans="1:9" x14ac:dyDescent="0.2">
      <c r="A50" s="2">
        <v>4</v>
      </c>
      <c r="B50" s="1" t="s">
        <v>83</v>
      </c>
      <c r="C50" s="4">
        <v>438</v>
      </c>
      <c r="D50" s="8">
        <v>6.93</v>
      </c>
      <c r="E50" s="4">
        <v>195</v>
      </c>
      <c r="F50" s="8">
        <v>7.07</v>
      </c>
      <c r="G50" s="4">
        <v>243</v>
      </c>
      <c r="H50" s="8">
        <v>6.89</v>
      </c>
      <c r="I50" s="4">
        <v>0</v>
      </c>
    </row>
    <row r="51" spans="1:9" x14ac:dyDescent="0.2">
      <c r="A51" s="2">
        <v>5</v>
      </c>
      <c r="B51" s="1" t="s">
        <v>86</v>
      </c>
      <c r="C51" s="4">
        <v>364</v>
      </c>
      <c r="D51" s="8">
        <v>5.76</v>
      </c>
      <c r="E51" s="4">
        <v>221</v>
      </c>
      <c r="F51" s="8">
        <v>8.01</v>
      </c>
      <c r="G51" s="4">
        <v>142</v>
      </c>
      <c r="H51" s="8">
        <v>4.03</v>
      </c>
      <c r="I51" s="4">
        <v>1</v>
      </c>
    </row>
    <row r="52" spans="1:9" x14ac:dyDescent="0.2">
      <c r="A52" s="2">
        <v>6</v>
      </c>
      <c r="B52" s="1" t="s">
        <v>80</v>
      </c>
      <c r="C52" s="4">
        <v>311</v>
      </c>
      <c r="D52" s="8">
        <v>4.92</v>
      </c>
      <c r="E52" s="4">
        <v>91</v>
      </c>
      <c r="F52" s="8">
        <v>3.3</v>
      </c>
      <c r="G52" s="4">
        <v>220</v>
      </c>
      <c r="H52" s="8">
        <v>6.24</v>
      </c>
      <c r="I52" s="4">
        <v>0</v>
      </c>
    </row>
    <row r="53" spans="1:9" x14ac:dyDescent="0.2">
      <c r="A53" s="2">
        <v>7</v>
      </c>
      <c r="B53" s="1" t="s">
        <v>81</v>
      </c>
      <c r="C53" s="4">
        <v>213</v>
      </c>
      <c r="D53" s="8">
        <v>3.37</v>
      </c>
      <c r="E53" s="4">
        <v>116</v>
      </c>
      <c r="F53" s="8">
        <v>4.2</v>
      </c>
      <c r="G53" s="4">
        <v>97</v>
      </c>
      <c r="H53" s="8">
        <v>2.75</v>
      </c>
      <c r="I53" s="4">
        <v>0</v>
      </c>
    </row>
    <row r="54" spans="1:9" x14ac:dyDescent="0.2">
      <c r="A54" s="2">
        <v>8</v>
      </c>
      <c r="B54" s="1" t="s">
        <v>84</v>
      </c>
      <c r="C54" s="4">
        <v>207</v>
      </c>
      <c r="D54" s="8">
        <v>3.28</v>
      </c>
      <c r="E54" s="4">
        <v>20</v>
      </c>
      <c r="F54" s="8">
        <v>0.72</v>
      </c>
      <c r="G54" s="4">
        <v>186</v>
      </c>
      <c r="H54" s="8">
        <v>5.28</v>
      </c>
      <c r="I54" s="4">
        <v>1</v>
      </c>
    </row>
    <row r="55" spans="1:9" x14ac:dyDescent="0.2">
      <c r="A55" s="2">
        <v>9</v>
      </c>
      <c r="B55" s="1" t="s">
        <v>90</v>
      </c>
      <c r="C55" s="4">
        <v>202</v>
      </c>
      <c r="D55" s="8">
        <v>3.2</v>
      </c>
      <c r="E55" s="4">
        <v>128</v>
      </c>
      <c r="F55" s="8">
        <v>4.6399999999999997</v>
      </c>
      <c r="G55" s="4">
        <v>70</v>
      </c>
      <c r="H55" s="8">
        <v>1.99</v>
      </c>
      <c r="I55" s="4">
        <v>1</v>
      </c>
    </row>
    <row r="56" spans="1:9" x14ac:dyDescent="0.2">
      <c r="A56" s="2">
        <v>10</v>
      </c>
      <c r="B56" s="1" t="s">
        <v>74</v>
      </c>
      <c r="C56" s="4">
        <v>198</v>
      </c>
      <c r="D56" s="8">
        <v>3.13</v>
      </c>
      <c r="E56" s="4">
        <v>14</v>
      </c>
      <c r="F56" s="8">
        <v>0.51</v>
      </c>
      <c r="G56" s="4">
        <v>184</v>
      </c>
      <c r="H56" s="8">
        <v>5.22</v>
      </c>
      <c r="I56" s="4">
        <v>0</v>
      </c>
    </row>
    <row r="57" spans="1:9" x14ac:dyDescent="0.2">
      <c r="A57" s="2">
        <v>11</v>
      </c>
      <c r="B57" s="1" t="s">
        <v>87</v>
      </c>
      <c r="C57" s="4">
        <v>192</v>
      </c>
      <c r="D57" s="8">
        <v>3.04</v>
      </c>
      <c r="E57" s="4">
        <v>33</v>
      </c>
      <c r="F57" s="8">
        <v>1.2</v>
      </c>
      <c r="G57" s="4">
        <v>158</v>
      </c>
      <c r="H57" s="8">
        <v>4.4800000000000004</v>
      </c>
      <c r="I57" s="4">
        <v>0</v>
      </c>
    </row>
    <row r="58" spans="1:9" x14ac:dyDescent="0.2">
      <c r="A58" s="2">
        <v>12</v>
      </c>
      <c r="B58" s="1" t="s">
        <v>91</v>
      </c>
      <c r="C58" s="4">
        <v>182</v>
      </c>
      <c r="D58" s="8">
        <v>2.88</v>
      </c>
      <c r="E58" s="4">
        <v>150</v>
      </c>
      <c r="F58" s="8">
        <v>5.43</v>
      </c>
      <c r="G58" s="4">
        <v>32</v>
      </c>
      <c r="H58" s="8">
        <v>0.91</v>
      </c>
      <c r="I58" s="4">
        <v>0</v>
      </c>
    </row>
    <row r="59" spans="1:9" x14ac:dyDescent="0.2">
      <c r="A59" s="2">
        <v>13</v>
      </c>
      <c r="B59" s="1" t="s">
        <v>79</v>
      </c>
      <c r="C59" s="4">
        <v>126</v>
      </c>
      <c r="D59" s="8">
        <v>1.99</v>
      </c>
      <c r="E59" s="4">
        <v>3</v>
      </c>
      <c r="F59" s="8">
        <v>0.11</v>
      </c>
      <c r="G59" s="4">
        <v>123</v>
      </c>
      <c r="H59" s="8">
        <v>3.49</v>
      </c>
      <c r="I59" s="4">
        <v>0</v>
      </c>
    </row>
    <row r="60" spans="1:9" x14ac:dyDescent="0.2">
      <c r="A60" s="2">
        <v>14</v>
      </c>
      <c r="B60" s="1" t="s">
        <v>76</v>
      </c>
      <c r="C60" s="4">
        <v>101</v>
      </c>
      <c r="D60" s="8">
        <v>1.6</v>
      </c>
      <c r="E60" s="4">
        <v>6</v>
      </c>
      <c r="F60" s="8">
        <v>0.22</v>
      </c>
      <c r="G60" s="4">
        <v>95</v>
      </c>
      <c r="H60" s="8">
        <v>2.69</v>
      </c>
      <c r="I60" s="4">
        <v>0</v>
      </c>
    </row>
    <row r="61" spans="1:9" x14ac:dyDescent="0.2">
      <c r="A61" s="2">
        <v>15</v>
      </c>
      <c r="B61" s="1" t="s">
        <v>94</v>
      </c>
      <c r="C61" s="4">
        <v>99</v>
      </c>
      <c r="D61" s="8">
        <v>1.57</v>
      </c>
      <c r="E61" s="4">
        <v>9</v>
      </c>
      <c r="F61" s="8">
        <v>0.33</v>
      </c>
      <c r="G61" s="4">
        <v>90</v>
      </c>
      <c r="H61" s="8">
        <v>2.5499999999999998</v>
      </c>
      <c r="I61" s="4">
        <v>0</v>
      </c>
    </row>
    <row r="62" spans="1:9" x14ac:dyDescent="0.2">
      <c r="A62" s="2">
        <v>16</v>
      </c>
      <c r="B62" s="1" t="s">
        <v>82</v>
      </c>
      <c r="C62" s="4">
        <v>92</v>
      </c>
      <c r="D62" s="8">
        <v>1.46</v>
      </c>
      <c r="E62" s="4">
        <v>45</v>
      </c>
      <c r="F62" s="8">
        <v>1.63</v>
      </c>
      <c r="G62" s="4">
        <v>47</v>
      </c>
      <c r="H62" s="8">
        <v>1.33</v>
      </c>
      <c r="I62" s="4">
        <v>0</v>
      </c>
    </row>
    <row r="63" spans="1:9" x14ac:dyDescent="0.2">
      <c r="A63" s="2">
        <v>17</v>
      </c>
      <c r="B63" s="1" t="s">
        <v>75</v>
      </c>
      <c r="C63" s="4">
        <v>91</v>
      </c>
      <c r="D63" s="8">
        <v>1.44</v>
      </c>
      <c r="E63" s="4">
        <v>13</v>
      </c>
      <c r="F63" s="8">
        <v>0.47</v>
      </c>
      <c r="G63" s="4">
        <v>78</v>
      </c>
      <c r="H63" s="8">
        <v>2.21</v>
      </c>
      <c r="I63" s="4">
        <v>0</v>
      </c>
    </row>
    <row r="64" spans="1:9" x14ac:dyDescent="0.2">
      <c r="A64" s="2">
        <v>18</v>
      </c>
      <c r="B64" s="1" t="s">
        <v>95</v>
      </c>
      <c r="C64" s="4">
        <v>90</v>
      </c>
      <c r="D64" s="8">
        <v>1.42</v>
      </c>
      <c r="E64" s="4">
        <v>6</v>
      </c>
      <c r="F64" s="8">
        <v>0.22</v>
      </c>
      <c r="G64" s="4">
        <v>80</v>
      </c>
      <c r="H64" s="8">
        <v>2.27</v>
      </c>
      <c r="I64" s="4">
        <v>4</v>
      </c>
    </row>
    <row r="65" spans="1:9" x14ac:dyDescent="0.2">
      <c r="A65" s="2">
        <v>19</v>
      </c>
      <c r="B65" s="1" t="s">
        <v>97</v>
      </c>
      <c r="C65" s="4">
        <v>77</v>
      </c>
      <c r="D65" s="8">
        <v>1.22</v>
      </c>
      <c r="E65" s="4">
        <v>27</v>
      </c>
      <c r="F65" s="8">
        <v>0.98</v>
      </c>
      <c r="G65" s="4">
        <v>49</v>
      </c>
      <c r="H65" s="8">
        <v>1.39</v>
      </c>
      <c r="I65" s="4">
        <v>0</v>
      </c>
    </row>
    <row r="66" spans="1:9" x14ac:dyDescent="0.2">
      <c r="A66" s="2">
        <v>20</v>
      </c>
      <c r="B66" s="1" t="s">
        <v>96</v>
      </c>
      <c r="C66" s="4">
        <v>75</v>
      </c>
      <c r="D66" s="8">
        <v>1.19</v>
      </c>
      <c r="E66" s="4">
        <v>4</v>
      </c>
      <c r="F66" s="8">
        <v>0.14000000000000001</v>
      </c>
      <c r="G66" s="4">
        <v>71</v>
      </c>
      <c r="H66" s="8">
        <v>2.0099999999999998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89</v>
      </c>
      <c r="C69" s="4">
        <v>399</v>
      </c>
      <c r="D69" s="8">
        <v>10.210000000000001</v>
      </c>
      <c r="E69" s="4">
        <v>330</v>
      </c>
      <c r="F69" s="8">
        <v>20.73</v>
      </c>
      <c r="G69" s="4">
        <v>69</v>
      </c>
      <c r="H69" s="8">
        <v>3</v>
      </c>
      <c r="I69" s="4">
        <v>0</v>
      </c>
    </row>
    <row r="70" spans="1:9" x14ac:dyDescent="0.2">
      <c r="A70" s="2">
        <v>2</v>
      </c>
      <c r="B70" s="1" t="s">
        <v>85</v>
      </c>
      <c r="C70" s="4">
        <v>330</v>
      </c>
      <c r="D70" s="8">
        <v>8.44</v>
      </c>
      <c r="E70" s="4">
        <v>45</v>
      </c>
      <c r="F70" s="8">
        <v>2.83</v>
      </c>
      <c r="G70" s="4">
        <v>284</v>
      </c>
      <c r="H70" s="8">
        <v>12.34</v>
      </c>
      <c r="I70" s="4">
        <v>0</v>
      </c>
    </row>
    <row r="71" spans="1:9" x14ac:dyDescent="0.2">
      <c r="A71" s="2">
        <v>3</v>
      </c>
      <c r="B71" s="1" t="s">
        <v>74</v>
      </c>
      <c r="C71" s="4">
        <v>309</v>
      </c>
      <c r="D71" s="8">
        <v>7.91</v>
      </c>
      <c r="E71" s="4">
        <v>33</v>
      </c>
      <c r="F71" s="8">
        <v>2.0699999999999998</v>
      </c>
      <c r="G71" s="4">
        <v>276</v>
      </c>
      <c r="H71" s="8">
        <v>11.99</v>
      </c>
      <c r="I71" s="4">
        <v>0</v>
      </c>
    </row>
    <row r="72" spans="1:9" x14ac:dyDescent="0.2">
      <c r="A72" s="2">
        <v>4</v>
      </c>
      <c r="B72" s="1" t="s">
        <v>88</v>
      </c>
      <c r="C72" s="4">
        <v>225</v>
      </c>
      <c r="D72" s="8">
        <v>5.76</v>
      </c>
      <c r="E72" s="4">
        <v>194</v>
      </c>
      <c r="F72" s="8">
        <v>12.19</v>
      </c>
      <c r="G72" s="4">
        <v>31</v>
      </c>
      <c r="H72" s="8">
        <v>1.35</v>
      </c>
      <c r="I72" s="4">
        <v>0</v>
      </c>
    </row>
    <row r="73" spans="1:9" x14ac:dyDescent="0.2">
      <c r="A73" s="2">
        <v>5</v>
      </c>
      <c r="B73" s="1" t="s">
        <v>76</v>
      </c>
      <c r="C73" s="4">
        <v>196</v>
      </c>
      <c r="D73" s="8">
        <v>5.0199999999999996</v>
      </c>
      <c r="E73" s="4">
        <v>28</v>
      </c>
      <c r="F73" s="8">
        <v>1.76</v>
      </c>
      <c r="G73" s="4">
        <v>168</v>
      </c>
      <c r="H73" s="8">
        <v>7.3</v>
      </c>
      <c r="I73" s="4">
        <v>0</v>
      </c>
    </row>
    <row r="74" spans="1:9" x14ac:dyDescent="0.2">
      <c r="A74" s="2">
        <v>6</v>
      </c>
      <c r="B74" s="1" t="s">
        <v>75</v>
      </c>
      <c r="C74" s="4">
        <v>195</v>
      </c>
      <c r="D74" s="8">
        <v>4.99</v>
      </c>
      <c r="E74" s="4">
        <v>48</v>
      </c>
      <c r="F74" s="8">
        <v>3.02</v>
      </c>
      <c r="G74" s="4">
        <v>147</v>
      </c>
      <c r="H74" s="8">
        <v>6.39</v>
      </c>
      <c r="I74" s="4">
        <v>0</v>
      </c>
    </row>
    <row r="75" spans="1:9" x14ac:dyDescent="0.2">
      <c r="A75" s="2">
        <v>7</v>
      </c>
      <c r="B75" s="1" t="s">
        <v>86</v>
      </c>
      <c r="C75" s="4">
        <v>183</v>
      </c>
      <c r="D75" s="8">
        <v>4.68</v>
      </c>
      <c r="E75" s="4">
        <v>106</v>
      </c>
      <c r="F75" s="8">
        <v>6.66</v>
      </c>
      <c r="G75" s="4">
        <v>77</v>
      </c>
      <c r="H75" s="8">
        <v>3.35</v>
      </c>
      <c r="I75" s="4">
        <v>0</v>
      </c>
    </row>
    <row r="76" spans="1:9" x14ac:dyDescent="0.2">
      <c r="A76" s="2">
        <v>8</v>
      </c>
      <c r="B76" s="1" t="s">
        <v>83</v>
      </c>
      <c r="C76" s="4">
        <v>177</v>
      </c>
      <c r="D76" s="8">
        <v>4.53</v>
      </c>
      <c r="E76" s="4">
        <v>79</v>
      </c>
      <c r="F76" s="8">
        <v>4.96</v>
      </c>
      <c r="G76" s="4">
        <v>98</v>
      </c>
      <c r="H76" s="8">
        <v>4.26</v>
      </c>
      <c r="I76" s="4">
        <v>0</v>
      </c>
    </row>
    <row r="77" spans="1:9" x14ac:dyDescent="0.2">
      <c r="A77" s="2">
        <v>9</v>
      </c>
      <c r="B77" s="1" t="s">
        <v>82</v>
      </c>
      <c r="C77" s="4">
        <v>159</v>
      </c>
      <c r="D77" s="8">
        <v>4.07</v>
      </c>
      <c r="E77" s="4">
        <v>96</v>
      </c>
      <c r="F77" s="8">
        <v>6.03</v>
      </c>
      <c r="G77" s="4">
        <v>63</v>
      </c>
      <c r="H77" s="8">
        <v>2.74</v>
      </c>
      <c r="I77" s="4">
        <v>0</v>
      </c>
    </row>
    <row r="78" spans="1:9" x14ac:dyDescent="0.2">
      <c r="A78" s="2">
        <v>10</v>
      </c>
      <c r="B78" s="1" t="s">
        <v>87</v>
      </c>
      <c r="C78" s="4">
        <v>156</v>
      </c>
      <c r="D78" s="8">
        <v>3.99</v>
      </c>
      <c r="E78" s="4">
        <v>31</v>
      </c>
      <c r="F78" s="8">
        <v>1.95</v>
      </c>
      <c r="G78" s="4">
        <v>125</v>
      </c>
      <c r="H78" s="8">
        <v>5.43</v>
      </c>
      <c r="I78" s="4">
        <v>0</v>
      </c>
    </row>
    <row r="79" spans="1:9" x14ac:dyDescent="0.2">
      <c r="A79" s="2">
        <v>11</v>
      </c>
      <c r="B79" s="1" t="s">
        <v>90</v>
      </c>
      <c r="C79" s="4">
        <v>143</v>
      </c>
      <c r="D79" s="8">
        <v>3.66</v>
      </c>
      <c r="E79" s="4">
        <v>107</v>
      </c>
      <c r="F79" s="8">
        <v>6.72</v>
      </c>
      <c r="G79" s="4">
        <v>35</v>
      </c>
      <c r="H79" s="8">
        <v>1.52</v>
      </c>
      <c r="I79" s="4">
        <v>0</v>
      </c>
    </row>
    <row r="80" spans="1:9" x14ac:dyDescent="0.2">
      <c r="A80" s="2">
        <v>12</v>
      </c>
      <c r="B80" s="1" t="s">
        <v>91</v>
      </c>
      <c r="C80" s="4">
        <v>138</v>
      </c>
      <c r="D80" s="8">
        <v>3.53</v>
      </c>
      <c r="E80" s="4">
        <v>118</v>
      </c>
      <c r="F80" s="8">
        <v>7.41</v>
      </c>
      <c r="G80" s="4">
        <v>20</v>
      </c>
      <c r="H80" s="8">
        <v>0.87</v>
      </c>
      <c r="I80" s="4">
        <v>0</v>
      </c>
    </row>
    <row r="81" spans="1:9" x14ac:dyDescent="0.2">
      <c r="A81" s="2">
        <v>13</v>
      </c>
      <c r="B81" s="1" t="s">
        <v>81</v>
      </c>
      <c r="C81" s="4">
        <v>128</v>
      </c>
      <c r="D81" s="8">
        <v>3.28</v>
      </c>
      <c r="E81" s="4">
        <v>84</v>
      </c>
      <c r="F81" s="8">
        <v>5.28</v>
      </c>
      <c r="G81" s="4">
        <v>44</v>
      </c>
      <c r="H81" s="8">
        <v>1.91</v>
      </c>
      <c r="I81" s="4">
        <v>0</v>
      </c>
    </row>
    <row r="82" spans="1:9" x14ac:dyDescent="0.2">
      <c r="A82" s="2">
        <v>14</v>
      </c>
      <c r="B82" s="1" t="s">
        <v>84</v>
      </c>
      <c r="C82" s="4">
        <v>121</v>
      </c>
      <c r="D82" s="8">
        <v>3.1</v>
      </c>
      <c r="E82" s="4">
        <v>20</v>
      </c>
      <c r="F82" s="8">
        <v>1.26</v>
      </c>
      <c r="G82" s="4">
        <v>101</v>
      </c>
      <c r="H82" s="8">
        <v>4.3899999999999997</v>
      </c>
      <c r="I82" s="4">
        <v>0</v>
      </c>
    </row>
    <row r="83" spans="1:9" x14ac:dyDescent="0.2">
      <c r="A83" s="2">
        <v>15</v>
      </c>
      <c r="B83" s="1" t="s">
        <v>79</v>
      </c>
      <c r="C83" s="4">
        <v>96</v>
      </c>
      <c r="D83" s="8">
        <v>2.46</v>
      </c>
      <c r="E83" s="4">
        <v>4</v>
      </c>
      <c r="F83" s="8">
        <v>0.25</v>
      </c>
      <c r="G83" s="4">
        <v>92</v>
      </c>
      <c r="H83" s="8">
        <v>4</v>
      </c>
      <c r="I83" s="4">
        <v>0</v>
      </c>
    </row>
    <row r="84" spans="1:9" x14ac:dyDescent="0.2">
      <c r="A84" s="2">
        <v>16</v>
      </c>
      <c r="B84" s="1" t="s">
        <v>94</v>
      </c>
      <c r="C84" s="4">
        <v>78</v>
      </c>
      <c r="D84" s="8">
        <v>2</v>
      </c>
      <c r="E84" s="4">
        <v>12</v>
      </c>
      <c r="F84" s="8">
        <v>0.75</v>
      </c>
      <c r="G84" s="4">
        <v>66</v>
      </c>
      <c r="H84" s="8">
        <v>2.87</v>
      </c>
      <c r="I84" s="4">
        <v>0</v>
      </c>
    </row>
    <row r="85" spans="1:9" x14ac:dyDescent="0.2">
      <c r="A85" s="2">
        <v>17</v>
      </c>
      <c r="B85" s="1" t="s">
        <v>80</v>
      </c>
      <c r="C85" s="4">
        <v>77</v>
      </c>
      <c r="D85" s="8">
        <v>1.97</v>
      </c>
      <c r="E85" s="4">
        <v>33</v>
      </c>
      <c r="F85" s="8">
        <v>2.0699999999999998</v>
      </c>
      <c r="G85" s="4">
        <v>44</v>
      </c>
      <c r="H85" s="8">
        <v>1.91</v>
      </c>
      <c r="I85" s="4">
        <v>0</v>
      </c>
    </row>
    <row r="86" spans="1:9" x14ac:dyDescent="0.2">
      <c r="A86" s="2">
        <v>18</v>
      </c>
      <c r="B86" s="1" t="s">
        <v>93</v>
      </c>
      <c r="C86" s="4">
        <v>59</v>
      </c>
      <c r="D86" s="8">
        <v>1.51</v>
      </c>
      <c r="E86" s="4">
        <v>40</v>
      </c>
      <c r="F86" s="8">
        <v>2.5099999999999998</v>
      </c>
      <c r="G86" s="4">
        <v>19</v>
      </c>
      <c r="H86" s="8">
        <v>0.83</v>
      </c>
      <c r="I86" s="4">
        <v>0</v>
      </c>
    </row>
    <row r="87" spans="1:9" x14ac:dyDescent="0.2">
      <c r="A87" s="2">
        <v>19</v>
      </c>
      <c r="B87" s="1" t="s">
        <v>97</v>
      </c>
      <c r="C87" s="4">
        <v>56</v>
      </c>
      <c r="D87" s="8">
        <v>1.43</v>
      </c>
      <c r="E87" s="4">
        <v>30</v>
      </c>
      <c r="F87" s="8">
        <v>1.88</v>
      </c>
      <c r="G87" s="4">
        <v>26</v>
      </c>
      <c r="H87" s="8">
        <v>1.1299999999999999</v>
      </c>
      <c r="I87" s="4">
        <v>0</v>
      </c>
    </row>
    <row r="88" spans="1:9" x14ac:dyDescent="0.2">
      <c r="A88" s="2">
        <v>20</v>
      </c>
      <c r="B88" s="1" t="s">
        <v>98</v>
      </c>
      <c r="C88" s="4">
        <v>54</v>
      </c>
      <c r="D88" s="8">
        <v>1.38</v>
      </c>
      <c r="E88" s="4">
        <v>4</v>
      </c>
      <c r="F88" s="8">
        <v>0.25</v>
      </c>
      <c r="G88" s="4">
        <v>50</v>
      </c>
      <c r="H88" s="8">
        <v>2.17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89</v>
      </c>
      <c r="C91" s="4">
        <v>167</v>
      </c>
      <c r="D91" s="8">
        <v>10.84</v>
      </c>
      <c r="E91" s="4">
        <v>144</v>
      </c>
      <c r="F91" s="8">
        <v>22.64</v>
      </c>
      <c r="G91" s="4">
        <v>23</v>
      </c>
      <c r="H91" s="8">
        <v>2.63</v>
      </c>
      <c r="I91" s="4">
        <v>0</v>
      </c>
    </row>
    <row r="92" spans="1:9" x14ac:dyDescent="0.2">
      <c r="A92" s="2">
        <v>2</v>
      </c>
      <c r="B92" s="1" t="s">
        <v>83</v>
      </c>
      <c r="C92" s="4">
        <v>130</v>
      </c>
      <c r="D92" s="8">
        <v>8.44</v>
      </c>
      <c r="E92" s="4">
        <v>47</v>
      </c>
      <c r="F92" s="8">
        <v>7.39</v>
      </c>
      <c r="G92" s="4">
        <v>83</v>
      </c>
      <c r="H92" s="8">
        <v>9.49</v>
      </c>
      <c r="I92" s="4">
        <v>0</v>
      </c>
    </row>
    <row r="93" spans="1:9" x14ac:dyDescent="0.2">
      <c r="A93" s="2">
        <v>3</v>
      </c>
      <c r="B93" s="1" t="s">
        <v>85</v>
      </c>
      <c r="C93" s="4">
        <v>117</v>
      </c>
      <c r="D93" s="8">
        <v>7.59</v>
      </c>
      <c r="E93" s="4">
        <v>35</v>
      </c>
      <c r="F93" s="8">
        <v>5.5</v>
      </c>
      <c r="G93" s="4">
        <v>80</v>
      </c>
      <c r="H93" s="8">
        <v>9.14</v>
      </c>
      <c r="I93" s="4">
        <v>2</v>
      </c>
    </row>
    <row r="94" spans="1:9" x14ac:dyDescent="0.2">
      <c r="A94" s="2">
        <v>4</v>
      </c>
      <c r="B94" s="1" t="s">
        <v>81</v>
      </c>
      <c r="C94" s="4">
        <v>103</v>
      </c>
      <c r="D94" s="8">
        <v>6.68</v>
      </c>
      <c r="E94" s="4">
        <v>61</v>
      </c>
      <c r="F94" s="8">
        <v>9.59</v>
      </c>
      <c r="G94" s="4">
        <v>42</v>
      </c>
      <c r="H94" s="8">
        <v>4.8</v>
      </c>
      <c r="I94" s="4">
        <v>0</v>
      </c>
    </row>
    <row r="95" spans="1:9" x14ac:dyDescent="0.2">
      <c r="A95" s="2">
        <v>5</v>
      </c>
      <c r="B95" s="1" t="s">
        <v>74</v>
      </c>
      <c r="C95" s="4">
        <v>96</v>
      </c>
      <c r="D95" s="8">
        <v>6.23</v>
      </c>
      <c r="E95" s="4">
        <v>20</v>
      </c>
      <c r="F95" s="8">
        <v>3.14</v>
      </c>
      <c r="G95" s="4">
        <v>76</v>
      </c>
      <c r="H95" s="8">
        <v>8.69</v>
      </c>
      <c r="I95" s="4">
        <v>0</v>
      </c>
    </row>
    <row r="96" spans="1:9" x14ac:dyDescent="0.2">
      <c r="A96" s="2">
        <v>6</v>
      </c>
      <c r="B96" s="1" t="s">
        <v>88</v>
      </c>
      <c r="C96" s="4">
        <v>84</v>
      </c>
      <c r="D96" s="8">
        <v>5.45</v>
      </c>
      <c r="E96" s="4">
        <v>62</v>
      </c>
      <c r="F96" s="8">
        <v>9.75</v>
      </c>
      <c r="G96" s="4">
        <v>22</v>
      </c>
      <c r="H96" s="8">
        <v>2.5099999999999998</v>
      </c>
      <c r="I96" s="4">
        <v>0</v>
      </c>
    </row>
    <row r="97" spans="1:9" x14ac:dyDescent="0.2">
      <c r="A97" s="2">
        <v>7</v>
      </c>
      <c r="B97" s="1" t="s">
        <v>78</v>
      </c>
      <c r="C97" s="4">
        <v>60</v>
      </c>
      <c r="D97" s="8">
        <v>3.89</v>
      </c>
      <c r="E97" s="4">
        <v>13</v>
      </c>
      <c r="F97" s="8">
        <v>2.04</v>
      </c>
      <c r="G97" s="4">
        <v>47</v>
      </c>
      <c r="H97" s="8">
        <v>5.37</v>
      </c>
      <c r="I97" s="4">
        <v>0</v>
      </c>
    </row>
    <row r="98" spans="1:9" x14ac:dyDescent="0.2">
      <c r="A98" s="2">
        <v>8</v>
      </c>
      <c r="B98" s="1" t="s">
        <v>75</v>
      </c>
      <c r="C98" s="4">
        <v>52</v>
      </c>
      <c r="D98" s="8">
        <v>3.37</v>
      </c>
      <c r="E98" s="4">
        <v>12</v>
      </c>
      <c r="F98" s="8">
        <v>1.89</v>
      </c>
      <c r="G98" s="4">
        <v>40</v>
      </c>
      <c r="H98" s="8">
        <v>4.57</v>
      </c>
      <c r="I98" s="4">
        <v>0</v>
      </c>
    </row>
    <row r="99" spans="1:9" x14ac:dyDescent="0.2">
      <c r="A99" s="2">
        <v>9</v>
      </c>
      <c r="B99" s="1" t="s">
        <v>86</v>
      </c>
      <c r="C99" s="4">
        <v>51</v>
      </c>
      <c r="D99" s="8">
        <v>3.31</v>
      </c>
      <c r="E99" s="4">
        <v>26</v>
      </c>
      <c r="F99" s="8">
        <v>4.09</v>
      </c>
      <c r="G99" s="4">
        <v>25</v>
      </c>
      <c r="H99" s="8">
        <v>2.86</v>
      </c>
      <c r="I99" s="4">
        <v>0</v>
      </c>
    </row>
    <row r="100" spans="1:9" x14ac:dyDescent="0.2">
      <c r="A100" s="2">
        <v>10</v>
      </c>
      <c r="B100" s="1" t="s">
        <v>82</v>
      </c>
      <c r="C100" s="4">
        <v>49</v>
      </c>
      <c r="D100" s="8">
        <v>3.18</v>
      </c>
      <c r="E100" s="4">
        <v>29</v>
      </c>
      <c r="F100" s="8">
        <v>4.5599999999999996</v>
      </c>
      <c r="G100" s="4">
        <v>20</v>
      </c>
      <c r="H100" s="8">
        <v>2.29</v>
      </c>
      <c r="I100" s="4">
        <v>0</v>
      </c>
    </row>
    <row r="101" spans="1:9" x14ac:dyDescent="0.2">
      <c r="A101" s="2">
        <v>11</v>
      </c>
      <c r="B101" s="1" t="s">
        <v>80</v>
      </c>
      <c r="C101" s="4">
        <v>48</v>
      </c>
      <c r="D101" s="8">
        <v>3.11</v>
      </c>
      <c r="E101" s="4">
        <v>10</v>
      </c>
      <c r="F101" s="8">
        <v>1.57</v>
      </c>
      <c r="G101" s="4">
        <v>38</v>
      </c>
      <c r="H101" s="8">
        <v>4.34</v>
      </c>
      <c r="I101" s="4">
        <v>0</v>
      </c>
    </row>
    <row r="102" spans="1:9" x14ac:dyDescent="0.2">
      <c r="A102" s="2">
        <v>12</v>
      </c>
      <c r="B102" s="1" t="s">
        <v>91</v>
      </c>
      <c r="C102" s="4">
        <v>45</v>
      </c>
      <c r="D102" s="8">
        <v>2.92</v>
      </c>
      <c r="E102" s="4">
        <v>39</v>
      </c>
      <c r="F102" s="8">
        <v>6.13</v>
      </c>
      <c r="G102" s="4">
        <v>6</v>
      </c>
      <c r="H102" s="8">
        <v>0.69</v>
      </c>
      <c r="I102" s="4">
        <v>0</v>
      </c>
    </row>
    <row r="103" spans="1:9" x14ac:dyDescent="0.2">
      <c r="A103" s="2">
        <v>13</v>
      </c>
      <c r="B103" s="1" t="s">
        <v>76</v>
      </c>
      <c r="C103" s="4">
        <v>40</v>
      </c>
      <c r="D103" s="8">
        <v>2.6</v>
      </c>
      <c r="E103" s="4">
        <v>10</v>
      </c>
      <c r="F103" s="8">
        <v>1.57</v>
      </c>
      <c r="G103" s="4">
        <v>30</v>
      </c>
      <c r="H103" s="8">
        <v>3.43</v>
      </c>
      <c r="I103" s="4">
        <v>0</v>
      </c>
    </row>
    <row r="104" spans="1:9" x14ac:dyDescent="0.2">
      <c r="A104" s="2">
        <v>14</v>
      </c>
      <c r="B104" s="1" t="s">
        <v>77</v>
      </c>
      <c r="C104" s="4">
        <v>38</v>
      </c>
      <c r="D104" s="8">
        <v>2.4700000000000002</v>
      </c>
      <c r="E104" s="4">
        <v>10</v>
      </c>
      <c r="F104" s="8">
        <v>1.57</v>
      </c>
      <c r="G104" s="4">
        <v>28</v>
      </c>
      <c r="H104" s="8">
        <v>3.2</v>
      </c>
      <c r="I104" s="4">
        <v>0</v>
      </c>
    </row>
    <row r="105" spans="1:9" x14ac:dyDescent="0.2">
      <c r="A105" s="2">
        <v>14</v>
      </c>
      <c r="B105" s="1" t="s">
        <v>90</v>
      </c>
      <c r="C105" s="4">
        <v>38</v>
      </c>
      <c r="D105" s="8">
        <v>2.4700000000000002</v>
      </c>
      <c r="E105" s="4">
        <v>25</v>
      </c>
      <c r="F105" s="8">
        <v>3.93</v>
      </c>
      <c r="G105" s="4">
        <v>11</v>
      </c>
      <c r="H105" s="8">
        <v>1.26</v>
      </c>
      <c r="I105" s="4">
        <v>0</v>
      </c>
    </row>
    <row r="106" spans="1:9" x14ac:dyDescent="0.2">
      <c r="A106" s="2">
        <v>16</v>
      </c>
      <c r="B106" s="1" t="s">
        <v>92</v>
      </c>
      <c r="C106" s="4">
        <v>37</v>
      </c>
      <c r="D106" s="8">
        <v>2.4</v>
      </c>
      <c r="E106" s="4">
        <v>0</v>
      </c>
      <c r="F106" s="8">
        <v>0</v>
      </c>
      <c r="G106" s="4">
        <v>24</v>
      </c>
      <c r="H106" s="8">
        <v>2.74</v>
      </c>
      <c r="I106" s="4">
        <v>0</v>
      </c>
    </row>
    <row r="107" spans="1:9" x14ac:dyDescent="0.2">
      <c r="A107" s="2">
        <v>17</v>
      </c>
      <c r="B107" s="1" t="s">
        <v>94</v>
      </c>
      <c r="C107" s="4">
        <v>32</v>
      </c>
      <c r="D107" s="8">
        <v>2.08</v>
      </c>
      <c r="E107" s="4">
        <v>6</v>
      </c>
      <c r="F107" s="8">
        <v>0.94</v>
      </c>
      <c r="G107" s="4">
        <v>26</v>
      </c>
      <c r="H107" s="8">
        <v>2.97</v>
      </c>
      <c r="I107" s="4">
        <v>0</v>
      </c>
    </row>
    <row r="108" spans="1:9" x14ac:dyDescent="0.2">
      <c r="A108" s="2">
        <v>18</v>
      </c>
      <c r="B108" s="1" t="s">
        <v>84</v>
      </c>
      <c r="C108" s="4">
        <v>31</v>
      </c>
      <c r="D108" s="8">
        <v>2.0099999999999998</v>
      </c>
      <c r="E108" s="4">
        <v>6</v>
      </c>
      <c r="F108" s="8">
        <v>0.94</v>
      </c>
      <c r="G108" s="4">
        <v>25</v>
      </c>
      <c r="H108" s="8">
        <v>2.86</v>
      </c>
      <c r="I108" s="4">
        <v>0</v>
      </c>
    </row>
    <row r="109" spans="1:9" x14ac:dyDescent="0.2">
      <c r="A109" s="2">
        <v>18</v>
      </c>
      <c r="B109" s="1" t="s">
        <v>87</v>
      </c>
      <c r="C109" s="4">
        <v>31</v>
      </c>
      <c r="D109" s="8">
        <v>2.0099999999999998</v>
      </c>
      <c r="E109" s="4">
        <v>9</v>
      </c>
      <c r="F109" s="8">
        <v>1.42</v>
      </c>
      <c r="G109" s="4">
        <v>22</v>
      </c>
      <c r="H109" s="8">
        <v>2.5099999999999998</v>
      </c>
      <c r="I109" s="4">
        <v>0</v>
      </c>
    </row>
    <row r="110" spans="1:9" x14ac:dyDescent="0.2">
      <c r="A110" s="2">
        <v>20</v>
      </c>
      <c r="B110" s="1" t="s">
        <v>93</v>
      </c>
      <c r="C110" s="4">
        <v>26</v>
      </c>
      <c r="D110" s="8">
        <v>1.69</v>
      </c>
      <c r="E110" s="4">
        <v>10</v>
      </c>
      <c r="F110" s="8">
        <v>1.57</v>
      </c>
      <c r="G110" s="4">
        <v>16</v>
      </c>
      <c r="H110" s="8">
        <v>1.83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89</v>
      </c>
      <c r="C113" s="4">
        <v>252</v>
      </c>
      <c r="D113" s="8">
        <v>10.27</v>
      </c>
      <c r="E113" s="4">
        <v>212</v>
      </c>
      <c r="F113" s="8">
        <v>21.31</v>
      </c>
      <c r="G113" s="4">
        <v>40</v>
      </c>
      <c r="H113" s="8">
        <v>2.8</v>
      </c>
      <c r="I113" s="4">
        <v>0</v>
      </c>
    </row>
    <row r="114" spans="1:9" x14ac:dyDescent="0.2">
      <c r="A114" s="2">
        <v>2</v>
      </c>
      <c r="B114" s="1" t="s">
        <v>74</v>
      </c>
      <c r="C114" s="4">
        <v>188</v>
      </c>
      <c r="D114" s="8">
        <v>7.66</v>
      </c>
      <c r="E114" s="4">
        <v>29</v>
      </c>
      <c r="F114" s="8">
        <v>2.91</v>
      </c>
      <c r="G114" s="4">
        <v>159</v>
      </c>
      <c r="H114" s="8">
        <v>11.12</v>
      </c>
      <c r="I114" s="4">
        <v>0</v>
      </c>
    </row>
    <row r="115" spans="1:9" x14ac:dyDescent="0.2">
      <c r="A115" s="2">
        <v>3</v>
      </c>
      <c r="B115" s="1" t="s">
        <v>85</v>
      </c>
      <c r="C115" s="4">
        <v>178</v>
      </c>
      <c r="D115" s="8">
        <v>7.26</v>
      </c>
      <c r="E115" s="4">
        <v>45</v>
      </c>
      <c r="F115" s="8">
        <v>4.5199999999999996</v>
      </c>
      <c r="G115" s="4">
        <v>132</v>
      </c>
      <c r="H115" s="8">
        <v>9.23</v>
      </c>
      <c r="I115" s="4">
        <v>1</v>
      </c>
    </row>
    <row r="116" spans="1:9" x14ac:dyDescent="0.2">
      <c r="A116" s="2">
        <v>4</v>
      </c>
      <c r="B116" s="1" t="s">
        <v>83</v>
      </c>
      <c r="C116" s="4">
        <v>158</v>
      </c>
      <c r="D116" s="8">
        <v>6.44</v>
      </c>
      <c r="E116" s="4">
        <v>62</v>
      </c>
      <c r="F116" s="8">
        <v>6.23</v>
      </c>
      <c r="G116" s="4">
        <v>95</v>
      </c>
      <c r="H116" s="8">
        <v>6.64</v>
      </c>
      <c r="I116" s="4">
        <v>1</v>
      </c>
    </row>
    <row r="117" spans="1:9" x14ac:dyDescent="0.2">
      <c r="A117" s="2">
        <v>5</v>
      </c>
      <c r="B117" s="1" t="s">
        <v>75</v>
      </c>
      <c r="C117" s="4">
        <v>129</v>
      </c>
      <c r="D117" s="8">
        <v>5.26</v>
      </c>
      <c r="E117" s="4">
        <v>47</v>
      </c>
      <c r="F117" s="8">
        <v>4.72</v>
      </c>
      <c r="G117" s="4">
        <v>82</v>
      </c>
      <c r="H117" s="8">
        <v>5.73</v>
      </c>
      <c r="I117" s="4">
        <v>0</v>
      </c>
    </row>
    <row r="118" spans="1:9" x14ac:dyDescent="0.2">
      <c r="A118" s="2">
        <v>6</v>
      </c>
      <c r="B118" s="1" t="s">
        <v>76</v>
      </c>
      <c r="C118" s="4">
        <v>126</v>
      </c>
      <c r="D118" s="8">
        <v>5.14</v>
      </c>
      <c r="E118" s="4">
        <v>24</v>
      </c>
      <c r="F118" s="8">
        <v>2.41</v>
      </c>
      <c r="G118" s="4">
        <v>102</v>
      </c>
      <c r="H118" s="8">
        <v>7.13</v>
      </c>
      <c r="I118" s="4">
        <v>0</v>
      </c>
    </row>
    <row r="119" spans="1:9" x14ac:dyDescent="0.2">
      <c r="A119" s="2">
        <v>7</v>
      </c>
      <c r="B119" s="1" t="s">
        <v>88</v>
      </c>
      <c r="C119" s="4">
        <v>101</v>
      </c>
      <c r="D119" s="8">
        <v>4.12</v>
      </c>
      <c r="E119" s="4">
        <v>77</v>
      </c>
      <c r="F119" s="8">
        <v>7.74</v>
      </c>
      <c r="G119" s="4">
        <v>24</v>
      </c>
      <c r="H119" s="8">
        <v>1.68</v>
      </c>
      <c r="I119" s="4">
        <v>0</v>
      </c>
    </row>
    <row r="120" spans="1:9" x14ac:dyDescent="0.2">
      <c r="A120" s="2">
        <v>8</v>
      </c>
      <c r="B120" s="1" t="s">
        <v>82</v>
      </c>
      <c r="C120" s="4">
        <v>100</v>
      </c>
      <c r="D120" s="8">
        <v>4.08</v>
      </c>
      <c r="E120" s="4">
        <v>54</v>
      </c>
      <c r="F120" s="8">
        <v>5.43</v>
      </c>
      <c r="G120" s="4">
        <v>46</v>
      </c>
      <c r="H120" s="8">
        <v>3.22</v>
      </c>
      <c r="I120" s="4">
        <v>0</v>
      </c>
    </row>
    <row r="121" spans="1:9" x14ac:dyDescent="0.2">
      <c r="A121" s="2">
        <v>9</v>
      </c>
      <c r="B121" s="1" t="s">
        <v>90</v>
      </c>
      <c r="C121" s="4">
        <v>91</v>
      </c>
      <c r="D121" s="8">
        <v>3.71</v>
      </c>
      <c r="E121" s="4">
        <v>60</v>
      </c>
      <c r="F121" s="8">
        <v>6.03</v>
      </c>
      <c r="G121" s="4">
        <v>30</v>
      </c>
      <c r="H121" s="8">
        <v>2.1</v>
      </c>
      <c r="I121" s="4">
        <v>0</v>
      </c>
    </row>
    <row r="122" spans="1:9" x14ac:dyDescent="0.2">
      <c r="A122" s="2">
        <v>10</v>
      </c>
      <c r="B122" s="1" t="s">
        <v>81</v>
      </c>
      <c r="C122" s="4">
        <v>87</v>
      </c>
      <c r="D122" s="8">
        <v>3.55</v>
      </c>
      <c r="E122" s="4">
        <v>49</v>
      </c>
      <c r="F122" s="8">
        <v>4.92</v>
      </c>
      <c r="G122" s="4">
        <v>37</v>
      </c>
      <c r="H122" s="8">
        <v>2.59</v>
      </c>
      <c r="I122" s="4">
        <v>1</v>
      </c>
    </row>
    <row r="123" spans="1:9" x14ac:dyDescent="0.2">
      <c r="A123" s="2">
        <v>11</v>
      </c>
      <c r="B123" s="1" t="s">
        <v>86</v>
      </c>
      <c r="C123" s="4">
        <v>81</v>
      </c>
      <c r="D123" s="8">
        <v>3.3</v>
      </c>
      <c r="E123" s="4">
        <v>44</v>
      </c>
      <c r="F123" s="8">
        <v>4.42</v>
      </c>
      <c r="G123" s="4">
        <v>37</v>
      </c>
      <c r="H123" s="8">
        <v>2.59</v>
      </c>
      <c r="I123" s="4">
        <v>0</v>
      </c>
    </row>
    <row r="124" spans="1:9" x14ac:dyDescent="0.2">
      <c r="A124" s="2">
        <v>12</v>
      </c>
      <c r="B124" s="1" t="s">
        <v>91</v>
      </c>
      <c r="C124" s="4">
        <v>68</v>
      </c>
      <c r="D124" s="8">
        <v>2.77</v>
      </c>
      <c r="E124" s="4">
        <v>59</v>
      </c>
      <c r="F124" s="8">
        <v>5.93</v>
      </c>
      <c r="G124" s="4">
        <v>9</v>
      </c>
      <c r="H124" s="8">
        <v>0.63</v>
      </c>
      <c r="I124" s="4">
        <v>0</v>
      </c>
    </row>
    <row r="125" spans="1:9" x14ac:dyDescent="0.2">
      <c r="A125" s="2">
        <v>13</v>
      </c>
      <c r="B125" s="1" t="s">
        <v>93</v>
      </c>
      <c r="C125" s="4">
        <v>65</v>
      </c>
      <c r="D125" s="8">
        <v>2.65</v>
      </c>
      <c r="E125" s="4">
        <v>44</v>
      </c>
      <c r="F125" s="8">
        <v>4.42</v>
      </c>
      <c r="G125" s="4">
        <v>21</v>
      </c>
      <c r="H125" s="8">
        <v>1.47</v>
      </c>
      <c r="I125" s="4">
        <v>0</v>
      </c>
    </row>
    <row r="126" spans="1:9" x14ac:dyDescent="0.2">
      <c r="A126" s="2">
        <v>14</v>
      </c>
      <c r="B126" s="1" t="s">
        <v>87</v>
      </c>
      <c r="C126" s="4">
        <v>60</v>
      </c>
      <c r="D126" s="8">
        <v>2.4500000000000002</v>
      </c>
      <c r="E126" s="4">
        <v>22</v>
      </c>
      <c r="F126" s="8">
        <v>2.21</v>
      </c>
      <c r="G126" s="4">
        <v>36</v>
      </c>
      <c r="H126" s="8">
        <v>2.52</v>
      </c>
      <c r="I126" s="4">
        <v>0</v>
      </c>
    </row>
    <row r="127" spans="1:9" x14ac:dyDescent="0.2">
      <c r="A127" s="2">
        <v>15</v>
      </c>
      <c r="B127" s="1" t="s">
        <v>84</v>
      </c>
      <c r="C127" s="4">
        <v>55</v>
      </c>
      <c r="D127" s="8">
        <v>2.2400000000000002</v>
      </c>
      <c r="E127" s="4">
        <v>14</v>
      </c>
      <c r="F127" s="8">
        <v>1.41</v>
      </c>
      <c r="G127" s="4">
        <v>41</v>
      </c>
      <c r="H127" s="8">
        <v>2.87</v>
      </c>
      <c r="I127" s="4">
        <v>0</v>
      </c>
    </row>
    <row r="128" spans="1:9" x14ac:dyDescent="0.2">
      <c r="A128" s="2">
        <v>16</v>
      </c>
      <c r="B128" s="1" t="s">
        <v>79</v>
      </c>
      <c r="C128" s="4">
        <v>54</v>
      </c>
      <c r="D128" s="8">
        <v>2.2000000000000002</v>
      </c>
      <c r="E128" s="4">
        <v>1</v>
      </c>
      <c r="F128" s="8">
        <v>0.1</v>
      </c>
      <c r="G128" s="4">
        <v>53</v>
      </c>
      <c r="H128" s="8">
        <v>3.71</v>
      </c>
      <c r="I128" s="4">
        <v>0</v>
      </c>
    </row>
    <row r="129" spans="1:9" x14ac:dyDescent="0.2">
      <c r="A129" s="2">
        <v>17</v>
      </c>
      <c r="B129" s="1" t="s">
        <v>80</v>
      </c>
      <c r="C129" s="4">
        <v>51</v>
      </c>
      <c r="D129" s="8">
        <v>2.08</v>
      </c>
      <c r="E129" s="4">
        <v>19</v>
      </c>
      <c r="F129" s="8">
        <v>1.91</v>
      </c>
      <c r="G129" s="4">
        <v>32</v>
      </c>
      <c r="H129" s="8">
        <v>2.2400000000000002</v>
      </c>
      <c r="I129" s="4">
        <v>0</v>
      </c>
    </row>
    <row r="130" spans="1:9" x14ac:dyDescent="0.2">
      <c r="A130" s="2">
        <v>18</v>
      </c>
      <c r="B130" s="1" t="s">
        <v>92</v>
      </c>
      <c r="C130" s="4">
        <v>50</v>
      </c>
      <c r="D130" s="8">
        <v>2.04</v>
      </c>
      <c r="E130" s="4">
        <v>0</v>
      </c>
      <c r="F130" s="8">
        <v>0</v>
      </c>
      <c r="G130" s="4">
        <v>41</v>
      </c>
      <c r="H130" s="8">
        <v>2.87</v>
      </c>
      <c r="I130" s="4">
        <v>0</v>
      </c>
    </row>
    <row r="131" spans="1:9" x14ac:dyDescent="0.2">
      <c r="A131" s="2">
        <v>19</v>
      </c>
      <c r="B131" s="1" t="s">
        <v>95</v>
      </c>
      <c r="C131" s="4">
        <v>45</v>
      </c>
      <c r="D131" s="8">
        <v>1.83</v>
      </c>
      <c r="E131" s="4">
        <v>7</v>
      </c>
      <c r="F131" s="8">
        <v>0.7</v>
      </c>
      <c r="G131" s="4">
        <v>36</v>
      </c>
      <c r="H131" s="8">
        <v>2.52</v>
      </c>
      <c r="I131" s="4">
        <v>2</v>
      </c>
    </row>
    <row r="132" spans="1:9" x14ac:dyDescent="0.2">
      <c r="A132" s="2">
        <v>20</v>
      </c>
      <c r="B132" s="1" t="s">
        <v>94</v>
      </c>
      <c r="C132" s="4">
        <v>35</v>
      </c>
      <c r="D132" s="8">
        <v>1.43</v>
      </c>
      <c r="E132" s="4">
        <v>3</v>
      </c>
      <c r="F132" s="8">
        <v>0.3</v>
      </c>
      <c r="G132" s="4">
        <v>32</v>
      </c>
      <c r="H132" s="8">
        <v>2.2400000000000002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89</v>
      </c>
      <c r="C135" s="4">
        <v>255</v>
      </c>
      <c r="D135" s="8">
        <v>10.73</v>
      </c>
      <c r="E135" s="4">
        <v>218</v>
      </c>
      <c r="F135" s="8">
        <v>21.44</v>
      </c>
      <c r="G135" s="4">
        <v>37</v>
      </c>
      <c r="H135" s="8">
        <v>2.79</v>
      </c>
      <c r="I135" s="4">
        <v>0</v>
      </c>
    </row>
    <row r="136" spans="1:9" x14ac:dyDescent="0.2">
      <c r="A136" s="2">
        <v>2</v>
      </c>
      <c r="B136" s="1" t="s">
        <v>85</v>
      </c>
      <c r="C136" s="4">
        <v>211</v>
      </c>
      <c r="D136" s="8">
        <v>8.8800000000000008</v>
      </c>
      <c r="E136" s="4">
        <v>62</v>
      </c>
      <c r="F136" s="8">
        <v>6.1</v>
      </c>
      <c r="G136" s="4">
        <v>147</v>
      </c>
      <c r="H136" s="8">
        <v>11.1</v>
      </c>
      <c r="I136" s="4">
        <v>1</v>
      </c>
    </row>
    <row r="137" spans="1:9" x14ac:dyDescent="0.2">
      <c r="A137" s="2">
        <v>3</v>
      </c>
      <c r="B137" s="1" t="s">
        <v>74</v>
      </c>
      <c r="C137" s="4">
        <v>186</v>
      </c>
      <c r="D137" s="8">
        <v>7.82</v>
      </c>
      <c r="E137" s="4">
        <v>28</v>
      </c>
      <c r="F137" s="8">
        <v>2.75</v>
      </c>
      <c r="G137" s="4">
        <v>158</v>
      </c>
      <c r="H137" s="8">
        <v>11.93</v>
      </c>
      <c r="I137" s="4">
        <v>0</v>
      </c>
    </row>
    <row r="138" spans="1:9" x14ac:dyDescent="0.2">
      <c r="A138" s="2">
        <v>4</v>
      </c>
      <c r="B138" s="1" t="s">
        <v>83</v>
      </c>
      <c r="C138" s="4">
        <v>125</v>
      </c>
      <c r="D138" s="8">
        <v>5.26</v>
      </c>
      <c r="E138" s="4">
        <v>41</v>
      </c>
      <c r="F138" s="8">
        <v>4.03</v>
      </c>
      <c r="G138" s="4">
        <v>84</v>
      </c>
      <c r="H138" s="8">
        <v>6.34</v>
      </c>
      <c r="I138" s="4">
        <v>0</v>
      </c>
    </row>
    <row r="139" spans="1:9" x14ac:dyDescent="0.2">
      <c r="A139" s="2">
        <v>4</v>
      </c>
      <c r="B139" s="1" t="s">
        <v>88</v>
      </c>
      <c r="C139" s="4">
        <v>125</v>
      </c>
      <c r="D139" s="8">
        <v>5.26</v>
      </c>
      <c r="E139" s="4">
        <v>105</v>
      </c>
      <c r="F139" s="8">
        <v>10.32</v>
      </c>
      <c r="G139" s="4">
        <v>20</v>
      </c>
      <c r="H139" s="8">
        <v>1.51</v>
      </c>
      <c r="I139" s="4">
        <v>0</v>
      </c>
    </row>
    <row r="140" spans="1:9" x14ac:dyDescent="0.2">
      <c r="A140" s="2">
        <v>6</v>
      </c>
      <c r="B140" s="1" t="s">
        <v>76</v>
      </c>
      <c r="C140" s="4">
        <v>116</v>
      </c>
      <c r="D140" s="8">
        <v>4.88</v>
      </c>
      <c r="E140" s="4">
        <v>26</v>
      </c>
      <c r="F140" s="8">
        <v>2.56</v>
      </c>
      <c r="G140" s="4">
        <v>90</v>
      </c>
      <c r="H140" s="8">
        <v>6.8</v>
      </c>
      <c r="I140" s="4">
        <v>0</v>
      </c>
    </row>
    <row r="141" spans="1:9" x14ac:dyDescent="0.2">
      <c r="A141" s="2">
        <v>7</v>
      </c>
      <c r="B141" s="1" t="s">
        <v>75</v>
      </c>
      <c r="C141" s="4">
        <v>111</v>
      </c>
      <c r="D141" s="8">
        <v>4.67</v>
      </c>
      <c r="E141" s="4">
        <v>28</v>
      </c>
      <c r="F141" s="8">
        <v>2.75</v>
      </c>
      <c r="G141" s="4">
        <v>83</v>
      </c>
      <c r="H141" s="8">
        <v>6.27</v>
      </c>
      <c r="I141" s="4">
        <v>0</v>
      </c>
    </row>
    <row r="142" spans="1:9" x14ac:dyDescent="0.2">
      <c r="A142" s="2">
        <v>8</v>
      </c>
      <c r="B142" s="1" t="s">
        <v>81</v>
      </c>
      <c r="C142" s="4">
        <v>99</v>
      </c>
      <c r="D142" s="8">
        <v>4.16</v>
      </c>
      <c r="E142" s="4">
        <v>62</v>
      </c>
      <c r="F142" s="8">
        <v>6.1</v>
      </c>
      <c r="G142" s="4">
        <v>37</v>
      </c>
      <c r="H142" s="8">
        <v>2.79</v>
      </c>
      <c r="I142" s="4">
        <v>0</v>
      </c>
    </row>
    <row r="143" spans="1:9" x14ac:dyDescent="0.2">
      <c r="A143" s="2">
        <v>9</v>
      </c>
      <c r="B143" s="1" t="s">
        <v>90</v>
      </c>
      <c r="C143" s="4">
        <v>98</v>
      </c>
      <c r="D143" s="8">
        <v>4.12</v>
      </c>
      <c r="E143" s="4">
        <v>71</v>
      </c>
      <c r="F143" s="8">
        <v>6.98</v>
      </c>
      <c r="G143" s="4">
        <v>22</v>
      </c>
      <c r="H143" s="8">
        <v>1.66</v>
      </c>
      <c r="I143" s="4">
        <v>1</v>
      </c>
    </row>
    <row r="144" spans="1:9" x14ac:dyDescent="0.2">
      <c r="A144" s="2">
        <v>10</v>
      </c>
      <c r="B144" s="1" t="s">
        <v>82</v>
      </c>
      <c r="C144" s="4">
        <v>95</v>
      </c>
      <c r="D144" s="8">
        <v>4</v>
      </c>
      <c r="E144" s="4">
        <v>49</v>
      </c>
      <c r="F144" s="8">
        <v>4.82</v>
      </c>
      <c r="G144" s="4">
        <v>46</v>
      </c>
      <c r="H144" s="8">
        <v>3.47</v>
      </c>
      <c r="I144" s="4">
        <v>0</v>
      </c>
    </row>
    <row r="145" spans="1:9" x14ac:dyDescent="0.2">
      <c r="A145" s="2">
        <v>11</v>
      </c>
      <c r="B145" s="1" t="s">
        <v>86</v>
      </c>
      <c r="C145" s="4">
        <v>86</v>
      </c>
      <c r="D145" s="8">
        <v>3.62</v>
      </c>
      <c r="E145" s="4">
        <v>55</v>
      </c>
      <c r="F145" s="8">
        <v>5.41</v>
      </c>
      <c r="G145" s="4">
        <v>31</v>
      </c>
      <c r="H145" s="8">
        <v>2.34</v>
      </c>
      <c r="I145" s="4">
        <v>0</v>
      </c>
    </row>
    <row r="146" spans="1:9" x14ac:dyDescent="0.2">
      <c r="A146" s="2">
        <v>12</v>
      </c>
      <c r="B146" s="1" t="s">
        <v>91</v>
      </c>
      <c r="C146" s="4">
        <v>77</v>
      </c>
      <c r="D146" s="8">
        <v>3.24</v>
      </c>
      <c r="E146" s="4">
        <v>66</v>
      </c>
      <c r="F146" s="8">
        <v>6.49</v>
      </c>
      <c r="G146" s="4">
        <v>11</v>
      </c>
      <c r="H146" s="8">
        <v>0.83</v>
      </c>
      <c r="I146" s="4">
        <v>0</v>
      </c>
    </row>
    <row r="147" spans="1:9" x14ac:dyDescent="0.2">
      <c r="A147" s="2">
        <v>13</v>
      </c>
      <c r="B147" s="1" t="s">
        <v>87</v>
      </c>
      <c r="C147" s="4">
        <v>59</v>
      </c>
      <c r="D147" s="8">
        <v>2.48</v>
      </c>
      <c r="E147" s="4">
        <v>21</v>
      </c>
      <c r="F147" s="8">
        <v>2.06</v>
      </c>
      <c r="G147" s="4">
        <v>38</v>
      </c>
      <c r="H147" s="8">
        <v>2.87</v>
      </c>
      <c r="I147" s="4">
        <v>0</v>
      </c>
    </row>
    <row r="148" spans="1:9" x14ac:dyDescent="0.2">
      <c r="A148" s="2">
        <v>14</v>
      </c>
      <c r="B148" s="1" t="s">
        <v>84</v>
      </c>
      <c r="C148" s="4">
        <v>53</v>
      </c>
      <c r="D148" s="8">
        <v>2.23</v>
      </c>
      <c r="E148" s="4">
        <v>11</v>
      </c>
      <c r="F148" s="8">
        <v>1.08</v>
      </c>
      <c r="G148" s="4">
        <v>42</v>
      </c>
      <c r="H148" s="8">
        <v>3.17</v>
      </c>
      <c r="I148" s="4">
        <v>0</v>
      </c>
    </row>
    <row r="149" spans="1:9" x14ac:dyDescent="0.2">
      <c r="A149" s="2">
        <v>15</v>
      </c>
      <c r="B149" s="1" t="s">
        <v>93</v>
      </c>
      <c r="C149" s="4">
        <v>49</v>
      </c>
      <c r="D149" s="8">
        <v>2.06</v>
      </c>
      <c r="E149" s="4">
        <v>36</v>
      </c>
      <c r="F149" s="8">
        <v>3.54</v>
      </c>
      <c r="G149" s="4">
        <v>13</v>
      </c>
      <c r="H149" s="8">
        <v>0.98</v>
      </c>
      <c r="I149" s="4">
        <v>0</v>
      </c>
    </row>
    <row r="150" spans="1:9" x14ac:dyDescent="0.2">
      <c r="A150" s="2">
        <v>16</v>
      </c>
      <c r="B150" s="1" t="s">
        <v>92</v>
      </c>
      <c r="C150" s="4">
        <v>48</v>
      </c>
      <c r="D150" s="8">
        <v>2.02</v>
      </c>
      <c r="E150" s="4">
        <v>0</v>
      </c>
      <c r="F150" s="8">
        <v>0</v>
      </c>
      <c r="G150" s="4">
        <v>42</v>
      </c>
      <c r="H150" s="8">
        <v>3.17</v>
      </c>
      <c r="I150" s="4">
        <v>0</v>
      </c>
    </row>
    <row r="151" spans="1:9" x14ac:dyDescent="0.2">
      <c r="A151" s="2">
        <v>17</v>
      </c>
      <c r="B151" s="1" t="s">
        <v>80</v>
      </c>
      <c r="C151" s="4">
        <v>46</v>
      </c>
      <c r="D151" s="8">
        <v>1.94</v>
      </c>
      <c r="E151" s="4">
        <v>20</v>
      </c>
      <c r="F151" s="8">
        <v>1.97</v>
      </c>
      <c r="G151" s="4">
        <v>26</v>
      </c>
      <c r="H151" s="8">
        <v>1.96</v>
      </c>
      <c r="I151" s="4">
        <v>0</v>
      </c>
    </row>
    <row r="152" spans="1:9" x14ac:dyDescent="0.2">
      <c r="A152" s="2">
        <v>18</v>
      </c>
      <c r="B152" s="1" t="s">
        <v>79</v>
      </c>
      <c r="C152" s="4">
        <v>36</v>
      </c>
      <c r="D152" s="8">
        <v>1.51</v>
      </c>
      <c r="E152" s="4">
        <v>3</v>
      </c>
      <c r="F152" s="8">
        <v>0.28999999999999998</v>
      </c>
      <c r="G152" s="4">
        <v>33</v>
      </c>
      <c r="H152" s="8">
        <v>2.4900000000000002</v>
      </c>
      <c r="I152" s="4">
        <v>0</v>
      </c>
    </row>
    <row r="153" spans="1:9" x14ac:dyDescent="0.2">
      <c r="A153" s="2">
        <v>18</v>
      </c>
      <c r="B153" s="1" t="s">
        <v>97</v>
      </c>
      <c r="C153" s="4">
        <v>36</v>
      </c>
      <c r="D153" s="8">
        <v>1.51</v>
      </c>
      <c r="E153" s="4">
        <v>13</v>
      </c>
      <c r="F153" s="8">
        <v>1.28</v>
      </c>
      <c r="G153" s="4">
        <v>23</v>
      </c>
      <c r="H153" s="8">
        <v>1.74</v>
      </c>
      <c r="I153" s="4">
        <v>0</v>
      </c>
    </row>
    <row r="154" spans="1:9" x14ac:dyDescent="0.2">
      <c r="A154" s="2">
        <v>20</v>
      </c>
      <c r="B154" s="1" t="s">
        <v>95</v>
      </c>
      <c r="C154" s="4">
        <v>33</v>
      </c>
      <c r="D154" s="8">
        <v>1.39</v>
      </c>
      <c r="E154" s="4">
        <v>1</v>
      </c>
      <c r="F154" s="8">
        <v>0.1</v>
      </c>
      <c r="G154" s="4">
        <v>32</v>
      </c>
      <c r="H154" s="8">
        <v>2.42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88</v>
      </c>
      <c r="C157" s="4">
        <v>347</v>
      </c>
      <c r="D157" s="8">
        <v>10.53</v>
      </c>
      <c r="E157" s="4">
        <v>309</v>
      </c>
      <c r="F157" s="8">
        <v>16.79</v>
      </c>
      <c r="G157" s="4">
        <v>38</v>
      </c>
      <c r="H157" s="8">
        <v>2.72</v>
      </c>
      <c r="I157" s="4">
        <v>0</v>
      </c>
    </row>
    <row r="158" spans="1:9" x14ac:dyDescent="0.2">
      <c r="A158" s="2">
        <v>1</v>
      </c>
      <c r="B158" s="1" t="s">
        <v>89</v>
      </c>
      <c r="C158" s="4">
        <v>347</v>
      </c>
      <c r="D158" s="8">
        <v>10.53</v>
      </c>
      <c r="E158" s="4">
        <v>302</v>
      </c>
      <c r="F158" s="8">
        <v>16.41</v>
      </c>
      <c r="G158" s="4">
        <v>45</v>
      </c>
      <c r="H158" s="8">
        <v>3.22</v>
      </c>
      <c r="I158" s="4">
        <v>0</v>
      </c>
    </row>
    <row r="159" spans="1:9" x14ac:dyDescent="0.2">
      <c r="A159" s="2">
        <v>3</v>
      </c>
      <c r="B159" s="1" t="s">
        <v>83</v>
      </c>
      <c r="C159" s="4">
        <v>265</v>
      </c>
      <c r="D159" s="8">
        <v>8.0399999999999991</v>
      </c>
      <c r="E159" s="4">
        <v>119</v>
      </c>
      <c r="F159" s="8">
        <v>6.47</v>
      </c>
      <c r="G159" s="4">
        <v>133</v>
      </c>
      <c r="H159" s="8">
        <v>9.51</v>
      </c>
      <c r="I159" s="4">
        <v>13</v>
      </c>
    </row>
    <row r="160" spans="1:9" x14ac:dyDescent="0.2">
      <c r="A160" s="2">
        <v>4</v>
      </c>
      <c r="B160" s="1" t="s">
        <v>85</v>
      </c>
      <c r="C160" s="4">
        <v>224</v>
      </c>
      <c r="D160" s="8">
        <v>6.8</v>
      </c>
      <c r="E160" s="4">
        <v>149</v>
      </c>
      <c r="F160" s="8">
        <v>8.1</v>
      </c>
      <c r="G160" s="4">
        <v>75</v>
      </c>
      <c r="H160" s="8">
        <v>5.36</v>
      </c>
      <c r="I160" s="4">
        <v>0</v>
      </c>
    </row>
    <row r="161" spans="1:9" x14ac:dyDescent="0.2">
      <c r="A161" s="2">
        <v>5</v>
      </c>
      <c r="B161" s="1" t="s">
        <v>74</v>
      </c>
      <c r="C161" s="4">
        <v>210</v>
      </c>
      <c r="D161" s="8">
        <v>6.38</v>
      </c>
      <c r="E161" s="4">
        <v>71</v>
      </c>
      <c r="F161" s="8">
        <v>3.86</v>
      </c>
      <c r="G161" s="4">
        <v>139</v>
      </c>
      <c r="H161" s="8">
        <v>9.94</v>
      </c>
      <c r="I161" s="4">
        <v>0</v>
      </c>
    </row>
    <row r="162" spans="1:9" x14ac:dyDescent="0.2">
      <c r="A162" s="2">
        <v>6</v>
      </c>
      <c r="B162" s="1" t="s">
        <v>81</v>
      </c>
      <c r="C162" s="4">
        <v>184</v>
      </c>
      <c r="D162" s="8">
        <v>5.59</v>
      </c>
      <c r="E162" s="4">
        <v>119</v>
      </c>
      <c r="F162" s="8">
        <v>6.47</v>
      </c>
      <c r="G162" s="4">
        <v>62</v>
      </c>
      <c r="H162" s="8">
        <v>4.43</v>
      </c>
      <c r="I162" s="4">
        <v>3</v>
      </c>
    </row>
    <row r="163" spans="1:9" x14ac:dyDescent="0.2">
      <c r="A163" s="2">
        <v>7</v>
      </c>
      <c r="B163" s="1" t="s">
        <v>82</v>
      </c>
      <c r="C163" s="4">
        <v>137</v>
      </c>
      <c r="D163" s="8">
        <v>4.16</v>
      </c>
      <c r="E163" s="4">
        <v>94</v>
      </c>
      <c r="F163" s="8">
        <v>5.1100000000000003</v>
      </c>
      <c r="G163" s="4">
        <v>43</v>
      </c>
      <c r="H163" s="8">
        <v>3.07</v>
      </c>
      <c r="I163" s="4">
        <v>0</v>
      </c>
    </row>
    <row r="164" spans="1:9" x14ac:dyDescent="0.2">
      <c r="A164" s="2">
        <v>8</v>
      </c>
      <c r="B164" s="1" t="s">
        <v>91</v>
      </c>
      <c r="C164" s="4">
        <v>116</v>
      </c>
      <c r="D164" s="8">
        <v>3.52</v>
      </c>
      <c r="E164" s="4">
        <v>97</v>
      </c>
      <c r="F164" s="8">
        <v>5.27</v>
      </c>
      <c r="G164" s="4">
        <v>19</v>
      </c>
      <c r="H164" s="8">
        <v>1.36</v>
      </c>
      <c r="I164" s="4">
        <v>0</v>
      </c>
    </row>
    <row r="165" spans="1:9" x14ac:dyDescent="0.2">
      <c r="A165" s="2">
        <v>9</v>
      </c>
      <c r="B165" s="1" t="s">
        <v>75</v>
      </c>
      <c r="C165" s="4">
        <v>111</v>
      </c>
      <c r="D165" s="8">
        <v>3.37</v>
      </c>
      <c r="E165" s="4">
        <v>56</v>
      </c>
      <c r="F165" s="8">
        <v>3.04</v>
      </c>
      <c r="G165" s="4">
        <v>55</v>
      </c>
      <c r="H165" s="8">
        <v>3.93</v>
      </c>
      <c r="I165" s="4">
        <v>0</v>
      </c>
    </row>
    <row r="166" spans="1:9" x14ac:dyDescent="0.2">
      <c r="A166" s="2">
        <v>10</v>
      </c>
      <c r="B166" s="1" t="s">
        <v>76</v>
      </c>
      <c r="C166" s="4">
        <v>110</v>
      </c>
      <c r="D166" s="8">
        <v>3.34</v>
      </c>
      <c r="E166" s="4">
        <v>42</v>
      </c>
      <c r="F166" s="8">
        <v>2.2799999999999998</v>
      </c>
      <c r="G166" s="4">
        <v>68</v>
      </c>
      <c r="H166" s="8">
        <v>4.8600000000000003</v>
      </c>
      <c r="I166" s="4">
        <v>0</v>
      </c>
    </row>
    <row r="167" spans="1:9" x14ac:dyDescent="0.2">
      <c r="A167" s="2">
        <v>11</v>
      </c>
      <c r="B167" s="1" t="s">
        <v>86</v>
      </c>
      <c r="C167" s="4">
        <v>100</v>
      </c>
      <c r="D167" s="8">
        <v>3.04</v>
      </c>
      <c r="E167" s="4">
        <v>67</v>
      </c>
      <c r="F167" s="8">
        <v>3.64</v>
      </c>
      <c r="G167" s="4">
        <v>30</v>
      </c>
      <c r="H167" s="8">
        <v>2.14</v>
      </c>
      <c r="I167" s="4">
        <v>3</v>
      </c>
    </row>
    <row r="168" spans="1:9" x14ac:dyDescent="0.2">
      <c r="A168" s="2">
        <v>12</v>
      </c>
      <c r="B168" s="1" t="s">
        <v>90</v>
      </c>
      <c r="C168" s="4">
        <v>98</v>
      </c>
      <c r="D168" s="8">
        <v>2.98</v>
      </c>
      <c r="E168" s="4">
        <v>78</v>
      </c>
      <c r="F168" s="8">
        <v>4.24</v>
      </c>
      <c r="G168" s="4">
        <v>18</v>
      </c>
      <c r="H168" s="8">
        <v>1.29</v>
      </c>
      <c r="I168" s="4">
        <v>0</v>
      </c>
    </row>
    <row r="169" spans="1:9" x14ac:dyDescent="0.2">
      <c r="A169" s="2">
        <v>13</v>
      </c>
      <c r="B169" s="1" t="s">
        <v>80</v>
      </c>
      <c r="C169" s="4">
        <v>79</v>
      </c>
      <c r="D169" s="8">
        <v>2.4</v>
      </c>
      <c r="E169" s="4">
        <v>29</v>
      </c>
      <c r="F169" s="8">
        <v>1.58</v>
      </c>
      <c r="G169" s="4">
        <v>49</v>
      </c>
      <c r="H169" s="8">
        <v>3.5</v>
      </c>
      <c r="I169" s="4">
        <v>1</v>
      </c>
    </row>
    <row r="170" spans="1:9" x14ac:dyDescent="0.2">
      <c r="A170" s="2">
        <v>14</v>
      </c>
      <c r="B170" s="1" t="s">
        <v>87</v>
      </c>
      <c r="C170" s="4">
        <v>73</v>
      </c>
      <c r="D170" s="8">
        <v>2.2200000000000002</v>
      </c>
      <c r="E170" s="4">
        <v>28</v>
      </c>
      <c r="F170" s="8">
        <v>1.52</v>
      </c>
      <c r="G170" s="4">
        <v>44</v>
      </c>
      <c r="H170" s="8">
        <v>3.15</v>
      </c>
      <c r="I170" s="4">
        <v>0</v>
      </c>
    </row>
    <row r="171" spans="1:9" x14ac:dyDescent="0.2">
      <c r="A171" s="2">
        <v>15</v>
      </c>
      <c r="B171" s="1" t="s">
        <v>92</v>
      </c>
      <c r="C171" s="4">
        <v>70</v>
      </c>
      <c r="D171" s="8">
        <v>2.13</v>
      </c>
      <c r="E171" s="4">
        <v>1</v>
      </c>
      <c r="F171" s="8">
        <v>0.05</v>
      </c>
      <c r="G171" s="4">
        <v>69</v>
      </c>
      <c r="H171" s="8">
        <v>4.93</v>
      </c>
      <c r="I171" s="4">
        <v>0</v>
      </c>
    </row>
    <row r="172" spans="1:9" x14ac:dyDescent="0.2">
      <c r="A172" s="2">
        <v>16</v>
      </c>
      <c r="B172" s="1" t="s">
        <v>93</v>
      </c>
      <c r="C172" s="4">
        <v>54</v>
      </c>
      <c r="D172" s="8">
        <v>1.64</v>
      </c>
      <c r="E172" s="4">
        <v>44</v>
      </c>
      <c r="F172" s="8">
        <v>2.39</v>
      </c>
      <c r="G172" s="4">
        <v>10</v>
      </c>
      <c r="H172" s="8">
        <v>0.71</v>
      </c>
      <c r="I172" s="4">
        <v>0</v>
      </c>
    </row>
    <row r="173" spans="1:9" x14ac:dyDescent="0.2">
      <c r="A173" s="2">
        <v>17</v>
      </c>
      <c r="B173" s="1" t="s">
        <v>99</v>
      </c>
      <c r="C173" s="4">
        <v>53</v>
      </c>
      <c r="D173" s="8">
        <v>1.61</v>
      </c>
      <c r="E173" s="4">
        <v>12</v>
      </c>
      <c r="F173" s="8">
        <v>0.65</v>
      </c>
      <c r="G173" s="4">
        <v>41</v>
      </c>
      <c r="H173" s="8">
        <v>2.93</v>
      </c>
      <c r="I173" s="4">
        <v>0</v>
      </c>
    </row>
    <row r="174" spans="1:9" x14ac:dyDescent="0.2">
      <c r="A174" s="2">
        <v>18</v>
      </c>
      <c r="B174" s="1" t="s">
        <v>94</v>
      </c>
      <c r="C174" s="4">
        <v>51</v>
      </c>
      <c r="D174" s="8">
        <v>1.55</v>
      </c>
      <c r="E174" s="4">
        <v>9</v>
      </c>
      <c r="F174" s="8">
        <v>0.49</v>
      </c>
      <c r="G174" s="4">
        <v>41</v>
      </c>
      <c r="H174" s="8">
        <v>2.93</v>
      </c>
      <c r="I174" s="4">
        <v>1</v>
      </c>
    </row>
    <row r="175" spans="1:9" x14ac:dyDescent="0.2">
      <c r="A175" s="2">
        <v>19</v>
      </c>
      <c r="B175" s="1" t="s">
        <v>78</v>
      </c>
      <c r="C175" s="4">
        <v>44</v>
      </c>
      <c r="D175" s="8">
        <v>1.34</v>
      </c>
      <c r="E175" s="4">
        <v>8</v>
      </c>
      <c r="F175" s="8">
        <v>0.43</v>
      </c>
      <c r="G175" s="4">
        <v>36</v>
      </c>
      <c r="H175" s="8">
        <v>2.57</v>
      </c>
      <c r="I175" s="4">
        <v>0</v>
      </c>
    </row>
    <row r="176" spans="1:9" x14ac:dyDescent="0.2">
      <c r="A176" s="2">
        <v>20</v>
      </c>
      <c r="B176" s="1" t="s">
        <v>97</v>
      </c>
      <c r="C176" s="4">
        <v>42</v>
      </c>
      <c r="D176" s="8">
        <v>1.28</v>
      </c>
      <c r="E176" s="4">
        <v>26</v>
      </c>
      <c r="F176" s="8">
        <v>1.41</v>
      </c>
      <c r="G176" s="4">
        <v>16</v>
      </c>
      <c r="H176" s="8">
        <v>1.1399999999999999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88</v>
      </c>
      <c r="C179" s="4">
        <v>198</v>
      </c>
      <c r="D179" s="8">
        <v>17.350000000000001</v>
      </c>
      <c r="E179" s="4">
        <v>180</v>
      </c>
      <c r="F179" s="8">
        <v>25.46</v>
      </c>
      <c r="G179" s="4">
        <v>18</v>
      </c>
      <c r="H179" s="8">
        <v>4.26</v>
      </c>
      <c r="I179" s="4">
        <v>0</v>
      </c>
    </row>
    <row r="180" spans="1:9" x14ac:dyDescent="0.2">
      <c r="A180" s="2">
        <v>2</v>
      </c>
      <c r="B180" s="1" t="s">
        <v>89</v>
      </c>
      <c r="C180" s="4">
        <v>143</v>
      </c>
      <c r="D180" s="8">
        <v>12.53</v>
      </c>
      <c r="E180" s="4">
        <v>122</v>
      </c>
      <c r="F180" s="8">
        <v>17.260000000000002</v>
      </c>
      <c r="G180" s="4">
        <v>21</v>
      </c>
      <c r="H180" s="8">
        <v>4.96</v>
      </c>
      <c r="I180" s="4">
        <v>0</v>
      </c>
    </row>
    <row r="181" spans="1:9" x14ac:dyDescent="0.2">
      <c r="A181" s="2">
        <v>3</v>
      </c>
      <c r="B181" s="1" t="s">
        <v>83</v>
      </c>
      <c r="C181" s="4">
        <v>82</v>
      </c>
      <c r="D181" s="8">
        <v>7.19</v>
      </c>
      <c r="E181" s="4">
        <v>41</v>
      </c>
      <c r="F181" s="8">
        <v>5.8</v>
      </c>
      <c r="G181" s="4">
        <v>41</v>
      </c>
      <c r="H181" s="8">
        <v>9.69</v>
      </c>
      <c r="I181" s="4">
        <v>0</v>
      </c>
    </row>
    <row r="182" spans="1:9" x14ac:dyDescent="0.2">
      <c r="A182" s="2">
        <v>4</v>
      </c>
      <c r="B182" s="1" t="s">
        <v>85</v>
      </c>
      <c r="C182" s="4">
        <v>69</v>
      </c>
      <c r="D182" s="8">
        <v>6.05</v>
      </c>
      <c r="E182" s="4">
        <v>41</v>
      </c>
      <c r="F182" s="8">
        <v>5.8</v>
      </c>
      <c r="G182" s="4">
        <v>27</v>
      </c>
      <c r="H182" s="8">
        <v>6.38</v>
      </c>
      <c r="I182" s="4">
        <v>0</v>
      </c>
    </row>
    <row r="183" spans="1:9" x14ac:dyDescent="0.2">
      <c r="A183" s="2">
        <v>5</v>
      </c>
      <c r="B183" s="1" t="s">
        <v>81</v>
      </c>
      <c r="C183" s="4">
        <v>52</v>
      </c>
      <c r="D183" s="8">
        <v>4.5599999999999996</v>
      </c>
      <c r="E183" s="4">
        <v>30</v>
      </c>
      <c r="F183" s="8">
        <v>4.24</v>
      </c>
      <c r="G183" s="4">
        <v>21</v>
      </c>
      <c r="H183" s="8">
        <v>4.96</v>
      </c>
      <c r="I183" s="4">
        <v>1</v>
      </c>
    </row>
    <row r="184" spans="1:9" x14ac:dyDescent="0.2">
      <c r="A184" s="2">
        <v>6</v>
      </c>
      <c r="B184" s="1" t="s">
        <v>74</v>
      </c>
      <c r="C184" s="4">
        <v>47</v>
      </c>
      <c r="D184" s="8">
        <v>4.12</v>
      </c>
      <c r="E184" s="4">
        <v>17</v>
      </c>
      <c r="F184" s="8">
        <v>2.4</v>
      </c>
      <c r="G184" s="4">
        <v>30</v>
      </c>
      <c r="H184" s="8">
        <v>7.09</v>
      </c>
      <c r="I184" s="4">
        <v>0</v>
      </c>
    </row>
    <row r="185" spans="1:9" x14ac:dyDescent="0.2">
      <c r="A185" s="2">
        <v>7</v>
      </c>
      <c r="B185" s="1" t="s">
        <v>90</v>
      </c>
      <c r="C185" s="4">
        <v>43</v>
      </c>
      <c r="D185" s="8">
        <v>3.77</v>
      </c>
      <c r="E185" s="4">
        <v>33</v>
      </c>
      <c r="F185" s="8">
        <v>4.67</v>
      </c>
      <c r="G185" s="4">
        <v>5</v>
      </c>
      <c r="H185" s="8">
        <v>1.18</v>
      </c>
      <c r="I185" s="4">
        <v>0</v>
      </c>
    </row>
    <row r="186" spans="1:9" x14ac:dyDescent="0.2">
      <c r="A186" s="2">
        <v>8</v>
      </c>
      <c r="B186" s="1" t="s">
        <v>82</v>
      </c>
      <c r="C186" s="4">
        <v>42</v>
      </c>
      <c r="D186" s="8">
        <v>3.68</v>
      </c>
      <c r="E186" s="4">
        <v>29</v>
      </c>
      <c r="F186" s="8">
        <v>4.0999999999999996</v>
      </c>
      <c r="G186" s="4">
        <v>13</v>
      </c>
      <c r="H186" s="8">
        <v>3.07</v>
      </c>
      <c r="I186" s="4">
        <v>0</v>
      </c>
    </row>
    <row r="187" spans="1:9" x14ac:dyDescent="0.2">
      <c r="A187" s="2">
        <v>9</v>
      </c>
      <c r="B187" s="1" t="s">
        <v>80</v>
      </c>
      <c r="C187" s="4">
        <v>40</v>
      </c>
      <c r="D187" s="8">
        <v>3.51</v>
      </c>
      <c r="E187" s="4">
        <v>16</v>
      </c>
      <c r="F187" s="8">
        <v>2.2599999999999998</v>
      </c>
      <c r="G187" s="4">
        <v>24</v>
      </c>
      <c r="H187" s="8">
        <v>5.67</v>
      </c>
      <c r="I187" s="4">
        <v>0</v>
      </c>
    </row>
    <row r="188" spans="1:9" x14ac:dyDescent="0.2">
      <c r="A188" s="2">
        <v>10</v>
      </c>
      <c r="B188" s="1" t="s">
        <v>91</v>
      </c>
      <c r="C188" s="4">
        <v>38</v>
      </c>
      <c r="D188" s="8">
        <v>3.33</v>
      </c>
      <c r="E188" s="4">
        <v>30</v>
      </c>
      <c r="F188" s="8">
        <v>4.24</v>
      </c>
      <c r="G188" s="4">
        <v>8</v>
      </c>
      <c r="H188" s="8">
        <v>1.89</v>
      </c>
      <c r="I188" s="4">
        <v>0</v>
      </c>
    </row>
    <row r="189" spans="1:9" x14ac:dyDescent="0.2">
      <c r="A189" s="2">
        <v>11</v>
      </c>
      <c r="B189" s="1" t="s">
        <v>75</v>
      </c>
      <c r="C189" s="4">
        <v>34</v>
      </c>
      <c r="D189" s="8">
        <v>2.98</v>
      </c>
      <c r="E189" s="4">
        <v>19</v>
      </c>
      <c r="F189" s="8">
        <v>2.69</v>
      </c>
      <c r="G189" s="4">
        <v>15</v>
      </c>
      <c r="H189" s="8">
        <v>3.55</v>
      </c>
      <c r="I189" s="4">
        <v>0</v>
      </c>
    </row>
    <row r="190" spans="1:9" x14ac:dyDescent="0.2">
      <c r="A190" s="2">
        <v>12</v>
      </c>
      <c r="B190" s="1" t="s">
        <v>87</v>
      </c>
      <c r="C190" s="4">
        <v>33</v>
      </c>
      <c r="D190" s="8">
        <v>2.89</v>
      </c>
      <c r="E190" s="4">
        <v>14</v>
      </c>
      <c r="F190" s="8">
        <v>1.98</v>
      </c>
      <c r="G190" s="4">
        <v>18</v>
      </c>
      <c r="H190" s="8">
        <v>4.26</v>
      </c>
      <c r="I190" s="4">
        <v>0</v>
      </c>
    </row>
    <row r="191" spans="1:9" x14ac:dyDescent="0.2">
      <c r="A191" s="2">
        <v>13</v>
      </c>
      <c r="B191" s="1" t="s">
        <v>76</v>
      </c>
      <c r="C191" s="4">
        <v>26</v>
      </c>
      <c r="D191" s="8">
        <v>2.2799999999999998</v>
      </c>
      <c r="E191" s="4">
        <v>11</v>
      </c>
      <c r="F191" s="8">
        <v>1.56</v>
      </c>
      <c r="G191" s="4">
        <v>15</v>
      </c>
      <c r="H191" s="8">
        <v>3.55</v>
      </c>
      <c r="I191" s="4">
        <v>0</v>
      </c>
    </row>
    <row r="192" spans="1:9" x14ac:dyDescent="0.2">
      <c r="A192" s="2">
        <v>14</v>
      </c>
      <c r="B192" s="1" t="s">
        <v>86</v>
      </c>
      <c r="C192" s="4">
        <v>21</v>
      </c>
      <c r="D192" s="8">
        <v>1.84</v>
      </c>
      <c r="E192" s="4">
        <v>16</v>
      </c>
      <c r="F192" s="8">
        <v>2.2599999999999998</v>
      </c>
      <c r="G192" s="4">
        <v>5</v>
      </c>
      <c r="H192" s="8">
        <v>1.18</v>
      </c>
      <c r="I192" s="4">
        <v>0</v>
      </c>
    </row>
    <row r="193" spans="1:9" x14ac:dyDescent="0.2">
      <c r="A193" s="2">
        <v>15</v>
      </c>
      <c r="B193" s="1" t="s">
        <v>79</v>
      </c>
      <c r="C193" s="4">
        <v>18</v>
      </c>
      <c r="D193" s="8">
        <v>1.58</v>
      </c>
      <c r="E193" s="4">
        <v>4</v>
      </c>
      <c r="F193" s="8">
        <v>0.56999999999999995</v>
      </c>
      <c r="G193" s="4">
        <v>14</v>
      </c>
      <c r="H193" s="8">
        <v>3.31</v>
      </c>
      <c r="I193" s="4">
        <v>0</v>
      </c>
    </row>
    <row r="194" spans="1:9" x14ac:dyDescent="0.2">
      <c r="A194" s="2">
        <v>16</v>
      </c>
      <c r="B194" s="1" t="s">
        <v>96</v>
      </c>
      <c r="C194" s="4">
        <v>17</v>
      </c>
      <c r="D194" s="8">
        <v>1.49</v>
      </c>
      <c r="E194" s="4">
        <v>3</v>
      </c>
      <c r="F194" s="8">
        <v>0.42</v>
      </c>
      <c r="G194" s="4">
        <v>14</v>
      </c>
      <c r="H194" s="8">
        <v>3.31</v>
      </c>
      <c r="I194" s="4">
        <v>0</v>
      </c>
    </row>
    <row r="195" spans="1:9" x14ac:dyDescent="0.2">
      <c r="A195" s="2">
        <v>17</v>
      </c>
      <c r="B195" s="1" t="s">
        <v>84</v>
      </c>
      <c r="C195" s="4">
        <v>15</v>
      </c>
      <c r="D195" s="8">
        <v>1.31</v>
      </c>
      <c r="E195" s="4">
        <v>8</v>
      </c>
      <c r="F195" s="8">
        <v>1.1299999999999999</v>
      </c>
      <c r="G195" s="4">
        <v>7</v>
      </c>
      <c r="H195" s="8">
        <v>1.65</v>
      </c>
      <c r="I195" s="4">
        <v>0</v>
      </c>
    </row>
    <row r="196" spans="1:9" x14ac:dyDescent="0.2">
      <c r="A196" s="2">
        <v>18</v>
      </c>
      <c r="B196" s="1" t="s">
        <v>98</v>
      </c>
      <c r="C196" s="4">
        <v>14</v>
      </c>
      <c r="D196" s="8">
        <v>1.23</v>
      </c>
      <c r="E196" s="4">
        <v>6</v>
      </c>
      <c r="F196" s="8">
        <v>0.85</v>
      </c>
      <c r="G196" s="4">
        <v>8</v>
      </c>
      <c r="H196" s="8">
        <v>1.89</v>
      </c>
      <c r="I196" s="4">
        <v>0</v>
      </c>
    </row>
    <row r="197" spans="1:9" x14ac:dyDescent="0.2">
      <c r="A197" s="2">
        <v>18</v>
      </c>
      <c r="B197" s="1" t="s">
        <v>97</v>
      </c>
      <c r="C197" s="4">
        <v>14</v>
      </c>
      <c r="D197" s="8">
        <v>1.23</v>
      </c>
      <c r="E197" s="4">
        <v>7</v>
      </c>
      <c r="F197" s="8">
        <v>0.99</v>
      </c>
      <c r="G197" s="4">
        <v>7</v>
      </c>
      <c r="H197" s="8">
        <v>1.65</v>
      </c>
      <c r="I197" s="4">
        <v>0</v>
      </c>
    </row>
    <row r="198" spans="1:9" x14ac:dyDescent="0.2">
      <c r="A198" s="2">
        <v>18</v>
      </c>
      <c r="B198" s="1" t="s">
        <v>100</v>
      </c>
      <c r="C198" s="4">
        <v>14</v>
      </c>
      <c r="D198" s="8">
        <v>1.23</v>
      </c>
      <c r="E198" s="4">
        <v>8</v>
      </c>
      <c r="F198" s="8">
        <v>1.1299999999999999</v>
      </c>
      <c r="G198" s="4">
        <v>5</v>
      </c>
      <c r="H198" s="8">
        <v>1.18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89</v>
      </c>
      <c r="C201" s="4">
        <v>150</v>
      </c>
      <c r="D201" s="8">
        <v>16.29</v>
      </c>
      <c r="E201" s="4">
        <v>130</v>
      </c>
      <c r="F201" s="8">
        <v>25.74</v>
      </c>
      <c r="G201" s="4">
        <v>20</v>
      </c>
      <c r="H201" s="8">
        <v>4.9400000000000004</v>
      </c>
      <c r="I201" s="4">
        <v>0</v>
      </c>
    </row>
    <row r="202" spans="1:9" x14ac:dyDescent="0.2">
      <c r="A202" s="2">
        <v>2</v>
      </c>
      <c r="B202" s="1" t="s">
        <v>83</v>
      </c>
      <c r="C202" s="4">
        <v>76</v>
      </c>
      <c r="D202" s="8">
        <v>8.25</v>
      </c>
      <c r="E202" s="4">
        <v>38</v>
      </c>
      <c r="F202" s="8">
        <v>7.52</v>
      </c>
      <c r="G202" s="4">
        <v>38</v>
      </c>
      <c r="H202" s="8">
        <v>9.3800000000000008</v>
      </c>
      <c r="I202" s="4">
        <v>0</v>
      </c>
    </row>
    <row r="203" spans="1:9" x14ac:dyDescent="0.2">
      <c r="A203" s="2">
        <v>3</v>
      </c>
      <c r="B203" s="1" t="s">
        <v>88</v>
      </c>
      <c r="C203" s="4">
        <v>69</v>
      </c>
      <c r="D203" s="8">
        <v>7.49</v>
      </c>
      <c r="E203" s="4">
        <v>58</v>
      </c>
      <c r="F203" s="8">
        <v>11.49</v>
      </c>
      <c r="G203" s="4">
        <v>11</v>
      </c>
      <c r="H203" s="8">
        <v>2.72</v>
      </c>
      <c r="I203" s="4">
        <v>0</v>
      </c>
    </row>
    <row r="204" spans="1:9" x14ac:dyDescent="0.2">
      <c r="A204" s="2">
        <v>4</v>
      </c>
      <c r="B204" s="1" t="s">
        <v>74</v>
      </c>
      <c r="C204" s="4">
        <v>64</v>
      </c>
      <c r="D204" s="8">
        <v>6.95</v>
      </c>
      <c r="E204" s="4">
        <v>15</v>
      </c>
      <c r="F204" s="8">
        <v>2.97</v>
      </c>
      <c r="G204" s="4">
        <v>49</v>
      </c>
      <c r="H204" s="8">
        <v>12.1</v>
      </c>
      <c r="I204" s="4">
        <v>0</v>
      </c>
    </row>
    <row r="205" spans="1:9" x14ac:dyDescent="0.2">
      <c r="A205" s="2">
        <v>5</v>
      </c>
      <c r="B205" s="1" t="s">
        <v>81</v>
      </c>
      <c r="C205" s="4">
        <v>56</v>
      </c>
      <c r="D205" s="8">
        <v>6.08</v>
      </c>
      <c r="E205" s="4">
        <v>38</v>
      </c>
      <c r="F205" s="8">
        <v>7.52</v>
      </c>
      <c r="G205" s="4">
        <v>17</v>
      </c>
      <c r="H205" s="8">
        <v>4.2</v>
      </c>
      <c r="I205" s="4">
        <v>1</v>
      </c>
    </row>
    <row r="206" spans="1:9" x14ac:dyDescent="0.2">
      <c r="A206" s="2">
        <v>6</v>
      </c>
      <c r="B206" s="1" t="s">
        <v>82</v>
      </c>
      <c r="C206" s="4">
        <v>47</v>
      </c>
      <c r="D206" s="8">
        <v>5.0999999999999996</v>
      </c>
      <c r="E206" s="4">
        <v>32</v>
      </c>
      <c r="F206" s="8">
        <v>6.34</v>
      </c>
      <c r="G206" s="4">
        <v>15</v>
      </c>
      <c r="H206" s="8">
        <v>3.7</v>
      </c>
      <c r="I206" s="4">
        <v>0</v>
      </c>
    </row>
    <row r="207" spans="1:9" x14ac:dyDescent="0.2">
      <c r="A207" s="2">
        <v>7</v>
      </c>
      <c r="B207" s="1" t="s">
        <v>91</v>
      </c>
      <c r="C207" s="4">
        <v>35</v>
      </c>
      <c r="D207" s="8">
        <v>3.8</v>
      </c>
      <c r="E207" s="4">
        <v>31</v>
      </c>
      <c r="F207" s="8">
        <v>6.14</v>
      </c>
      <c r="G207" s="4">
        <v>4</v>
      </c>
      <c r="H207" s="8">
        <v>0.99</v>
      </c>
      <c r="I207" s="4">
        <v>0</v>
      </c>
    </row>
    <row r="208" spans="1:9" x14ac:dyDescent="0.2">
      <c r="A208" s="2">
        <v>8</v>
      </c>
      <c r="B208" s="1" t="s">
        <v>90</v>
      </c>
      <c r="C208" s="4">
        <v>34</v>
      </c>
      <c r="D208" s="8">
        <v>3.69</v>
      </c>
      <c r="E208" s="4">
        <v>23</v>
      </c>
      <c r="F208" s="8">
        <v>4.55</v>
      </c>
      <c r="G208" s="4">
        <v>8</v>
      </c>
      <c r="H208" s="8">
        <v>1.98</v>
      </c>
      <c r="I208" s="4">
        <v>0</v>
      </c>
    </row>
    <row r="209" spans="1:9" x14ac:dyDescent="0.2">
      <c r="A209" s="2">
        <v>9</v>
      </c>
      <c r="B209" s="1" t="s">
        <v>76</v>
      </c>
      <c r="C209" s="4">
        <v>33</v>
      </c>
      <c r="D209" s="8">
        <v>3.58</v>
      </c>
      <c r="E209" s="4">
        <v>8</v>
      </c>
      <c r="F209" s="8">
        <v>1.58</v>
      </c>
      <c r="G209" s="4">
        <v>25</v>
      </c>
      <c r="H209" s="8">
        <v>6.17</v>
      </c>
      <c r="I209" s="4">
        <v>0</v>
      </c>
    </row>
    <row r="210" spans="1:9" x14ac:dyDescent="0.2">
      <c r="A210" s="2">
        <v>10</v>
      </c>
      <c r="B210" s="1" t="s">
        <v>85</v>
      </c>
      <c r="C210" s="4">
        <v>32</v>
      </c>
      <c r="D210" s="8">
        <v>3.47</v>
      </c>
      <c r="E210" s="4">
        <v>12</v>
      </c>
      <c r="F210" s="8">
        <v>2.38</v>
      </c>
      <c r="G210" s="4">
        <v>20</v>
      </c>
      <c r="H210" s="8">
        <v>4.9400000000000004</v>
      </c>
      <c r="I210" s="4">
        <v>0</v>
      </c>
    </row>
    <row r="211" spans="1:9" x14ac:dyDescent="0.2">
      <c r="A211" s="2">
        <v>11</v>
      </c>
      <c r="B211" s="1" t="s">
        <v>75</v>
      </c>
      <c r="C211" s="4">
        <v>29</v>
      </c>
      <c r="D211" s="8">
        <v>3.15</v>
      </c>
      <c r="E211" s="4">
        <v>12</v>
      </c>
      <c r="F211" s="8">
        <v>2.38</v>
      </c>
      <c r="G211" s="4">
        <v>17</v>
      </c>
      <c r="H211" s="8">
        <v>4.2</v>
      </c>
      <c r="I211" s="4">
        <v>0</v>
      </c>
    </row>
    <row r="212" spans="1:9" x14ac:dyDescent="0.2">
      <c r="A212" s="2">
        <v>12</v>
      </c>
      <c r="B212" s="1" t="s">
        <v>80</v>
      </c>
      <c r="C212" s="4">
        <v>28</v>
      </c>
      <c r="D212" s="8">
        <v>3.04</v>
      </c>
      <c r="E212" s="4">
        <v>10</v>
      </c>
      <c r="F212" s="8">
        <v>1.98</v>
      </c>
      <c r="G212" s="4">
        <v>18</v>
      </c>
      <c r="H212" s="8">
        <v>4.4400000000000004</v>
      </c>
      <c r="I212" s="4">
        <v>0</v>
      </c>
    </row>
    <row r="213" spans="1:9" x14ac:dyDescent="0.2">
      <c r="A213" s="2">
        <v>13</v>
      </c>
      <c r="B213" s="1" t="s">
        <v>93</v>
      </c>
      <c r="C213" s="4">
        <v>22</v>
      </c>
      <c r="D213" s="8">
        <v>2.39</v>
      </c>
      <c r="E213" s="4">
        <v>19</v>
      </c>
      <c r="F213" s="8">
        <v>3.76</v>
      </c>
      <c r="G213" s="4">
        <v>3</v>
      </c>
      <c r="H213" s="8">
        <v>0.74</v>
      </c>
      <c r="I213" s="4">
        <v>0</v>
      </c>
    </row>
    <row r="214" spans="1:9" x14ac:dyDescent="0.2">
      <c r="A214" s="2">
        <v>14</v>
      </c>
      <c r="B214" s="1" t="s">
        <v>92</v>
      </c>
      <c r="C214" s="4">
        <v>20</v>
      </c>
      <c r="D214" s="8">
        <v>2.17</v>
      </c>
      <c r="E214" s="4">
        <v>0</v>
      </c>
      <c r="F214" s="8">
        <v>0</v>
      </c>
      <c r="G214" s="4">
        <v>17</v>
      </c>
      <c r="H214" s="8">
        <v>4.2</v>
      </c>
      <c r="I214" s="4">
        <v>0</v>
      </c>
    </row>
    <row r="215" spans="1:9" x14ac:dyDescent="0.2">
      <c r="A215" s="2">
        <v>15</v>
      </c>
      <c r="B215" s="1" t="s">
        <v>87</v>
      </c>
      <c r="C215" s="4">
        <v>19</v>
      </c>
      <c r="D215" s="8">
        <v>2.06</v>
      </c>
      <c r="E215" s="4">
        <v>8</v>
      </c>
      <c r="F215" s="8">
        <v>1.58</v>
      </c>
      <c r="G215" s="4">
        <v>11</v>
      </c>
      <c r="H215" s="8">
        <v>2.72</v>
      </c>
      <c r="I215" s="4">
        <v>0</v>
      </c>
    </row>
    <row r="216" spans="1:9" x14ac:dyDescent="0.2">
      <c r="A216" s="2">
        <v>15</v>
      </c>
      <c r="B216" s="1" t="s">
        <v>101</v>
      </c>
      <c r="C216" s="4">
        <v>19</v>
      </c>
      <c r="D216" s="8">
        <v>2.06</v>
      </c>
      <c r="E216" s="4">
        <v>7</v>
      </c>
      <c r="F216" s="8">
        <v>1.39</v>
      </c>
      <c r="G216" s="4">
        <v>11</v>
      </c>
      <c r="H216" s="8">
        <v>2.72</v>
      </c>
      <c r="I216" s="4">
        <v>0</v>
      </c>
    </row>
    <row r="217" spans="1:9" x14ac:dyDescent="0.2">
      <c r="A217" s="2">
        <v>17</v>
      </c>
      <c r="B217" s="1" t="s">
        <v>84</v>
      </c>
      <c r="C217" s="4">
        <v>18</v>
      </c>
      <c r="D217" s="8">
        <v>1.95</v>
      </c>
      <c r="E217" s="4">
        <v>8</v>
      </c>
      <c r="F217" s="8">
        <v>1.58</v>
      </c>
      <c r="G217" s="4">
        <v>10</v>
      </c>
      <c r="H217" s="8">
        <v>2.4700000000000002</v>
      </c>
      <c r="I217" s="4">
        <v>0</v>
      </c>
    </row>
    <row r="218" spans="1:9" x14ac:dyDescent="0.2">
      <c r="A218" s="2">
        <v>18</v>
      </c>
      <c r="B218" s="1" t="s">
        <v>97</v>
      </c>
      <c r="C218" s="4">
        <v>17</v>
      </c>
      <c r="D218" s="8">
        <v>1.85</v>
      </c>
      <c r="E218" s="4">
        <v>7</v>
      </c>
      <c r="F218" s="8">
        <v>1.39</v>
      </c>
      <c r="G218" s="4">
        <v>10</v>
      </c>
      <c r="H218" s="8">
        <v>2.4700000000000002</v>
      </c>
      <c r="I218" s="4">
        <v>0</v>
      </c>
    </row>
    <row r="219" spans="1:9" x14ac:dyDescent="0.2">
      <c r="A219" s="2">
        <v>19</v>
      </c>
      <c r="B219" s="1" t="s">
        <v>99</v>
      </c>
      <c r="C219" s="4">
        <v>14</v>
      </c>
      <c r="D219" s="8">
        <v>1.52</v>
      </c>
      <c r="E219" s="4">
        <v>3</v>
      </c>
      <c r="F219" s="8">
        <v>0.59</v>
      </c>
      <c r="G219" s="4">
        <v>11</v>
      </c>
      <c r="H219" s="8">
        <v>2.72</v>
      </c>
      <c r="I219" s="4">
        <v>0</v>
      </c>
    </row>
    <row r="220" spans="1:9" x14ac:dyDescent="0.2">
      <c r="A220" s="2">
        <v>20</v>
      </c>
      <c r="B220" s="1" t="s">
        <v>100</v>
      </c>
      <c r="C220" s="4">
        <v>13</v>
      </c>
      <c r="D220" s="8">
        <v>1.41</v>
      </c>
      <c r="E220" s="4">
        <v>6</v>
      </c>
      <c r="F220" s="8">
        <v>1.19</v>
      </c>
      <c r="G220" s="4">
        <v>7</v>
      </c>
      <c r="H220" s="8">
        <v>1.73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85</v>
      </c>
      <c r="C223" s="4">
        <v>93</v>
      </c>
      <c r="D223" s="8">
        <v>12.76</v>
      </c>
      <c r="E223" s="4">
        <v>76</v>
      </c>
      <c r="F223" s="8">
        <v>16.63</v>
      </c>
      <c r="G223" s="4">
        <v>17</v>
      </c>
      <c r="H223" s="8">
        <v>6.39</v>
      </c>
      <c r="I223" s="4">
        <v>0</v>
      </c>
    </row>
    <row r="224" spans="1:9" x14ac:dyDescent="0.2">
      <c r="A224" s="2">
        <v>2</v>
      </c>
      <c r="B224" s="1" t="s">
        <v>88</v>
      </c>
      <c r="C224" s="4">
        <v>92</v>
      </c>
      <c r="D224" s="8">
        <v>12.62</v>
      </c>
      <c r="E224" s="4">
        <v>85</v>
      </c>
      <c r="F224" s="8">
        <v>18.600000000000001</v>
      </c>
      <c r="G224" s="4">
        <v>7</v>
      </c>
      <c r="H224" s="8">
        <v>2.63</v>
      </c>
      <c r="I224" s="4">
        <v>0</v>
      </c>
    </row>
    <row r="225" spans="1:9" x14ac:dyDescent="0.2">
      <c r="A225" s="2">
        <v>3</v>
      </c>
      <c r="B225" s="1" t="s">
        <v>89</v>
      </c>
      <c r="C225" s="4">
        <v>75</v>
      </c>
      <c r="D225" s="8">
        <v>10.29</v>
      </c>
      <c r="E225" s="4">
        <v>69</v>
      </c>
      <c r="F225" s="8">
        <v>15.1</v>
      </c>
      <c r="G225" s="4">
        <v>6</v>
      </c>
      <c r="H225" s="8">
        <v>2.2599999999999998</v>
      </c>
      <c r="I225" s="4">
        <v>0</v>
      </c>
    </row>
    <row r="226" spans="1:9" x14ac:dyDescent="0.2">
      <c r="A226" s="2">
        <v>4</v>
      </c>
      <c r="B226" s="1" t="s">
        <v>81</v>
      </c>
      <c r="C226" s="4">
        <v>52</v>
      </c>
      <c r="D226" s="8">
        <v>7.13</v>
      </c>
      <c r="E226" s="4">
        <v>31</v>
      </c>
      <c r="F226" s="8">
        <v>6.78</v>
      </c>
      <c r="G226" s="4">
        <v>20</v>
      </c>
      <c r="H226" s="8">
        <v>7.52</v>
      </c>
      <c r="I226" s="4">
        <v>1</v>
      </c>
    </row>
    <row r="227" spans="1:9" x14ac:dyDescent="0.2">
      <c r="A227" s="2">
        <v>5</v>
      </c>
      <c r="B227" s="1" t="s">
        <v>83</v>
      </c>
      <c r="C227" s="4">
        <v>48</v>
      </c>
      <c r="D227" s="8">
        <v>6.58</v>
      </c>
      <c r="E227" s="4">
        <v>22</v>
      </c>
      <c r="F227" s="8">
        <v>4.8099999999999996</v>
      </c>
      <c r="G227" s="4">
        <v>26</v>
      </c>
      <c r="H227" s="8">
        <v>9.77</v>
      </c>
      <c r="I227" s="4">
        <v>0</v>
      </c>
    </row>
    <row r="228" spans="1:9" x14ac:dyDescent="0.2">
      <c r="A228" s="2">
        <v>6</v>
      </c>
      <c r="B228" s="1" t="s">
        <v>82</v>
      </c>
      <c r="C228" s="4">
        <v>33</v>
      </c>
      <c r="D228" s="8">
        <v>4.53</v>
      </c>
      <c r="E228" s="4">
        <v>23</v>
      </c>
      <c r="F228" s="8">
        <v>5.03</v>
      </c>
      <c r="G228" s="4">
        <v>10</v>
      </c>
      <c r="H228" s="8">
        <v>3.76</v>
      </c>
      <c r="I228" s="4">
        <v>0</v>
      </c>
    </row>
    <row r="229" spans="1:9" x14ac:dyDescent="0.2">
      <c r="A229" s="2">
        <v>7</v>
      </c>
      <c r="B229" s="1" t="s">
        <v>74</v>
      </c>
      <c r="C229" s="4">
        <v>32</v>
      </c>
      <c r="D229" s="8">
        <v>4.3899999999999997</v>
      </c>
      <c r="E229" s="4">
        <v>9</v>
      </c>
      <c r="F229" s="8">
        <v>1.97</v>
      </c>
      <c r="G229" s="4">
        <v>23</v>
      </c>
      <c r="H229" s="8">
        <v>8.65</v>
      </c>
      <c r="I229" s="4">
        <v>0</v>
      </c>
    </row>
    <row r="230" spans="1:9" x14ac:dyDescent="0.2">
      <c r="A230" s="2">
        <v>8</v>
      </c>
      <c r="B230" s="1" t="s">
        <v>75</v>
      </c>
      <c r="C230" s="4">
        <v>26</v>
      </c>
      <c r="D230" s="8">
        <v>3.57</v>
      </c>
      <c r="E230" s="4">
        <v>18</v>
      </c>
      <c r="F230" s="8">
        <v>3.94</v>
      </c>
      <c r="G230" s="4">
        <v>8</v>
      </c>
      <c r="H230" s="8">
        <v>3.01</v>
      </c>
      <c r="I230" s="4">
        <v>0</v>
      </c>
    </row>
    <row r="231" spans="1:9" x14ac:dyDescent="0.2">
      <c r="A231" s="2">
        <v>9</v>
      </c>
      <c r="B231" s="1" t="s">
        <v>91</v>
      </c>
      <c r="C231" s="4">
        <v>24</v>
      </c>
      <c r="D231" s="8">
        <v>3.29</v>
      </c>
      <c r="E231" s="4">
        <v>21</v>
      </c>
      <c r="F231" s="8">
        <v>4.5999999999999996</v>
      </c>
      <c r="G231" s="4">
        <v>3</v>
      </c>
      <c r="H231" s="8">
        <v>1.1299999999999999</v>
      </c>
      <c r="I231" s="4">
        <v>0</v>
      </c>
    </row>
    <row r="232" spans="1:9" x14ac:dyDescent="0.2">
      <c r="A232" s="2">
        <v>10</v>
      </c>
      <c r="B232" s="1" t="s">
        <v>76</v>
      </c>
      <c r="C232" s="4">
        <v>18</v>
      </c>
      <c r="D232" s="8">
        <v>2.4700000000000002</v>
      </c>
      <c r="E232" s="4">
        <v>4</v>
      </c>
      <c r="F232" s="8">
        <v>0.88</v>
      </c>
      <c r="G232" s="4">
        <v>14</v>
      </c>
      <c r="H232" s="8">
        <v>5.26</v>
      </c>
      <c r="I232" s="4">
        <v>0</v>
      </c>
    </row>
    <row r="233" spans="1:9" x14ac:dyDescent="0.2">
      <c r="A233" s="2">
        <v>11</v>
      </c>
      <c r="B233" s="1" t="s">
        <v>90</v>
      </c>
      <c r="C233" s="4">
        <v>16</v>
      </c>
      <c r="D233" s="8">
        <v>2.19</v>
      </c>
      <c r="E233" s="4">
        <v>13</v>
      </c>
      <c r="F233" s="8">
        <v>2.84</v>
      </c>
      <c r="G233" s="4">
        <v>2</v>
      </c>
      <c r="H233" s="8">
        <v>0.75</v>
      </c>
      <c r="I233" s="4">
        <v>0</v>
      </c>
    </row>
    <row r="234" spans="1:9" x14ac:dyDescent="0.2">
      <c r="A234" s="2">
        <v>11</v>
      </c>
      <c r="B234" s="1" t="s">
        <v>93</v>
      </c>
      <c r="C234" s="4">
        <v>16</v>
      </c>
      <c r="D234" s="8">
        <v>2.19</v>
      </c>
      <c r="E234" s="4">
        <v>13</v>
      </c>
      <c r="F234" s="8">
        <v>2.84</v>
      </c>
      <c r="G234" s="4">
        <v>3</v>
      </c>
      <c r="H234" s="8">
        <v>1.1299999999999999</v>
      </c>
      <c r="I234" s="4">
        <v>0</v>
      </c>
    </row>
    <row r="235" spans="1:9" x14ac:dyDescent="0.2">
      <c r="A235" s="2">
        <v>13</v>
      </c>
      <c r="B235" s="1" t="s">
        <v>86</v>
      </c>
      <c r="C235" s="4">
        <v>14</v>
      </c>
      <c r="D235" s="8">
        <v>1.92</v>
      </c>
      <c r="E235" s="4">
        <v>11</v>
      </c>
      <c r="F235" s="8">
        <v>2.41</v>
      </c>
      <c r="G235" s="4">
        <v>3</v>
      </c>
      <c r="H235" s="8">
        <v>1.1299999999999999</v>
      </c>
      <c r="I235" s="4">
        <v>0</v>
      </c>
    </row>
    <row r="236" spans="1:9" x14ac:dyDescent="0.2">
      <c r="A236" s="2">
        <v>14</v>
      </c>
      <c r="B236" s="1" t="s">
        <v>87</v>
      </c>
      <c r="C236" s="4">
        <v>13</v>
      </c>
      <c r="D236" s="8">
        <v>1.78</v>
      </c>
      <c r="E236" s="4">
        <v>6</v>
      </c>
      <c r="F236" s="8">
        <v>1.31</v>
      </c>
      <c r="G236" s="4">
        <v>7</v>
      </c>
      <c r="H236" s="8">
        <v>2.63</v>
      </c>
      <c r="I236" s="4">
        <v>0</v>
      </c>
    </row>
    <row r="237" spans="1:9" x14ac:dyDescent="0.2">
      <c r="A237" s="2">
        <v>15</v>
      </c>
      <c r="B237" s="1" t="s">
        <v>79</v>
      </c>
      <c r="C237" s="4">
        <v>11</v>
      </c>
      <c r="D237" s="8">
        <v>1.51</v>
      </c>
      <c r="E237" s="4">
        <v>3</v>
      </c>
      <c r="F237" s="8">
        <v>0.66</v>
      </c>
      <c r="G237" s="4">
        <v>8</v>
      </c>
      <c r="H237" s="8">
        <v>3.01</v>
      </c>
      <c r="I237" s="4">
        <v>0</v>
      </c>
    </row>
    <row r="238" spans="1:9" x14ac:dyDescent="0.2">
      <c r="A238" s="2">
        <v>15</v>
      </c>
      <c r="B238" s="1" t="s">
        <v>92</v>
      </c>
      <c r="C238" s="4">
        <v>11</v>
      </c>
      <c r="D238" s="8">
        <v>1.51</v>
      </c>
      <c r="E238" s="4">
        <v>1</v>
      </c>
      <c r="F238" s="8">
        <v>0.22</v>
      </c>
      <c r="G238" s="4">
        <v>10</v>
      </c>
      <c r="H238" s="8">
        <v>3.76</v>
      </c>
      <c r="I238" s="4">
        <v>0</v>
      </c>
    </row>
    <row r="239" spans="1:9" x14ac:dyDescent="0.2">
      <c r="A239" s="2">
        <v>17</v>
      </c>
      <c r="B239" s="1" t="s">
        <v>77</v>
      </c>
      <c r="C239" s="4">
        <v>10</v>
      </c>
      <c r="D239" s="8">
        <v>1.37</v>
      </c>
      <c r="E239" s="4">
        <v>5</v>
      </c>
      <c r="F239" s="8">
        <v>1.0900000000000001</v>
      </c>
      <c r="G239" s="4">
        <v>5</v>
      </c>
      <c r="H239" s="8">
        <v>1.88</v>
      </c>
      <c r="I239" s="4">
        <v>0</v>
      </c>
    </row>
    <row r="240" spans="1:9" x14ac:dyDescent="0.2">
      <c r="A240" s="2">
        <v>17</v>
      </c>
      <c r="B240" s="1" t="s">
        <v>99</v>
      </c>
      <c r="C240" s="4">
        <v>10</v>
      </c>
      <c r="D240" s="8">
        <v>1.37</v>
      </c>
      <c r="E240" s="4">
        <v>3</v>
      </c>
      <c r="F240" s="8">
        <v>0.66</v>
      </c>
      <c r="G240" s="4">
        <v>7</v>
      </c>
      <c r="H240" s="8">
        <v>2.63</v>
      </c>
      <c r="I240" s="4">
        <v>0</v>
      </c>
    </row>
    <row r="241" spans="1:9" x14ac:dyDescent="0.2">
      <c r="A241" s="2">
        <v>19</v>
      </c>
      <c r="B241" s="1" t="s">
        <v>78</v>
      </c>
      <c r="C241" s="4">
        <v>9</v>
      </c>
      <c r="D241" s="8">
        <v>1.23</v>
      </c>
      <c r="E241" s="4">
        <v>1</v>
      </c>
      <c r="F241" s="8">
        <v>0.22</v>
      </c>
      <c r="G241" s="4">
        <v>8</v>
      </c>
      <c r="H241" s="8">
        <v>3.01</v>
      </c>
      <c r="I241" s="4">
        <v>0</v>
      </c>
    </row>
    <row r="242" spans="1:9" x14ac:dyDescent="0.2">
      <c r="A242" s="2">
        <v>19</v>
      </c>
      <c r="B242" s="1" t="s">
        <v>97</v>
      </c>
      <c r="C242" s="4">
        <v>9</v>
      </c>
      <c r="D242" s="8">
        <v>1.23</v>
      </c>
      <c r="E242" s="4">
        <v>6</v>
      </c>
      <c r="F242" s="8">
        <v>1.31</v>
      </c>
      <c r="G242" s="4">
        <v>3</v>
      </c>
      <c r="H242" s="8">
        <v>1.1299999999999999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89</v>
      </c>
      <c r="C245" s="4">
        <v>167</v>
      </c>
      <c r="D245" s="8">
        <v>12.69</v>
      </c>
      <c r="E245" s="4">
        <v>148</v>
      </c>
      <c r="F245" s="8">
        <v>19.95</v>
      </c>
      <c r="G245" s="4">
        <v>19</v>
      </c>
      <c r="H245" s="8">
        <v>3.37</v>
      </c>
      <c r="I245" s="4">
        <v>0</v>
      </c>
    </row>
    <row r="246" spans="1:9" x14ac:dyDescent="0.2">
      <c r="A246" s="2">
        <v>2</v>
      </c>
      <c r="B246" s="1" t="s">
        <v>83</v>
      </c>
      <c r="C246" s="4">
        <v>125</v>
      </c>
      <c r="D246" s="8">
        <v>9.5</v>
      </c>
      <c r="E246" s="4">
        <v>67</v>
      </c>
      <c r="F246" s="8">
        <v>9.0299999999999994</v>
      </c>
      <c r="G246" s="4">
        <v>58</v>
      </c>
      <c r="H246" s="8">
        <v>10.3</v>
      </c>
      <c r="I246" s="4">
        <v>0</v>
      </c>
    </row>
    <row r="247" spans="1:9" x14ac:dyDescent="0.2">
      <c r="A247" s="2">
        <v>3</v>
      </c>
      <c r="B247" s="1" t="s">
        <v>88</v>
      </c>
      <c r="C247" s="4">
        <v>121</v>
      </c>
      <c r="D247" s="8">
        <v>9.19</v>
      </c>
      <c r="E247" s="4">
        <v>106</v>
      </c>
      <c r="F247" s="8">
        <v>14.29</v>
      </c>
      <c r="G247" s="4">
        <v>15</v>
      </c>
      <c r="H247" s="8">
        <v>2.66</v>
      </c>
      <c r="I247" s="4">
        <v>0</v>
      </c>
    </row>
    <row r="248" spans="1:9" x14ac:dyDescent="0.2">
      <c r="A248" s="2">
        <v>4</v>
      </c>
      <c r="B248" s="1" t="s">
        <v>74</v>
      </c>
      <c r="C248" s="4">
        <v>103</v>
      </c>
      <c r="D248" s="8">
        <v>7.83</v>
      </c>
      <c r="E248" s="4">
        <v>28</v>
      </c>
      <c r="F248" s="8">
        <v>3.77</v>
      </c>
      <c r="G248" s="4">
        <v>75</v>
      </c>
      <c r="H248" s="8">
        <v>13.32</v>
      </c>
      <c r="I248" s="4">
        <v>0</v>
      </c>
    </row>
    <row r="249" spans="1:9" x14ac:dyDescent="0.2">
      <c r="A249" s="2">
        <v>5</v>
      </c>
      <c r="B249" s="1" t="s">
        <v>81</v>
      </c>
      <c r="C249" s="4">
        <v>77</v>
      </c>
      <c r="D249" s="8">
        <v>5.85</v>
      </c>
      <c r="E249" s="4">
        <v>62</v>
      </c>
      <c r="F249" s="8">
        <v>8.36</v>
      </c>
      <c r="G249" s="4">
        <v>15</v>
      </c>
      <c r="H249" s="8">
        <v>2.66</v>
      </c>
      <c r="I249" s="4">
        <v>0</v>
      </c>
    </row>
    <row r="250" spans="1:9" x14ac:dyDescent="0.2">
      <c r="A250" s="2">
        <v>6</v>
      </c>
      <c r="B250" s="1" t="s">
        <v>82</v>
      </c>
      <c r="C250" s="4">
        <v>68</v>
      </c>
      <c r="D250" s="8">
        <v>5.17</v>
      </c>
      <c r="E250" s="4">
        <v>40</v>
      </c>
      <c r="F250" s="8">
        <v>5.39</v>
      </c>
      <c r="G250" s="4">
        <v>28</v>
      </c>
      <c r="H250" s="8">
        <v>4.97</v>
      </c>
      <c r="I250" s="4">
        <v>0</v>
      </c>
    </row>
    <row r="251" spans="1:9" x14ac:dyDescent="0.2">
      <c r="A251" s="2">
        <v>7</v>
      </c>
      <c r="B251" s="1" t="s">
        <v>85</v>
      </c>
      <c r="C251" s="4">
        <v>52</v>
      </c>
      <c r="D251" s="8">
        <v>3.95</v>
      </c>
      <c r="E251" s="4">
        <v>26</v>
      </c>
      <c r="F251" s="8">
        <v>3.5</v>
      </c>
      <c r="G251" s="4">
        <v>26</v>
      </c>
      <c r="H251" s="8">
        <v>4.62</v>
      </c>
      <c r="I251" s="4">
        <v>0</v>
      </c>
    </row>
    <row r="252" spans="1:9" x14ac:dyDescent="0.2">
      <c r="A252" s="2">
        <v>8</v>
      </c>
      <c r="B252" s="1" t="s">
        <v>75</v>
      </c>
      <c r="C252" s="4">
        <v>46</v>
      </c>
      <c r="D252" s="8">
        <v>3.5</v>
      </c>
      <c r="E252" s="4">
        <v>26</v>
      </c>
      <c r="F252" s="8">
        <v>3.5</v>
      </c>
      <c r="G252" s="4">
        <v>20</v>
      </c>
      <c r="H252" s="8">
        <v>3.55</v>
      </c>
      <c r="I252" s="4">
        <v>0</v>
      </c>
    </row>
    <row r="253" spans="1:9" x14ac:dyDescent="0.2">
      <c r="A253" s="2">
        <v>9</v>
      </c>
      <c r="B253" s="1" t="s">
        <v>80</v>
      </c>
      <c r="C253" s="4">
        <v>40</v>
      </c>
      <c r="D253" s="8">
        <v>3.04</v>
      </c>
      <c r="E253" s="4">
        <v>24</v>
      </c>
      <c r="F253" s="8">
        <v>3.23</v>
      </c>
      <c r="G253" s="4">
        <v>16</v>
      </c>
      <c r="H253" s="8">
        <v>2.84</v>
      </c>
      <c r="I253" s="4">
        <v>0</v>
      </c>
    </row>
    <row r="254" spans="1:9" x14ac:dyDescent="0.2">
      <c r="A254" s="2">
        <v>10</v>
      </c>
      <c r="B254" s="1" t="s">
        <v>76</v>
      </c>
      <c r="C254" s="4">
        <v>38</v>
      </c>
      <c r="D254" s="8">
        <v>2.89</v>
      </c>
      <c r="E254" s="4">
        <v>11</v>
      </c>
      <c r="F254" s="8">
        <v>1.48</v>
      </c>
      <c r="G254" s="4">
        <v>27</v>
      </c>
      <c r="H254" s="8">
        <v>4.8</v>
      </c>
      <c r="I254" s="4">
        <v>0</v>
      </c>
    </row>
    <row r="255" spans="1:9" x14ac:dyDescent="0.2">
      <c r="A255" s="2">
        <v>10</v>
      </c>
      <c r="B255" s="1" t="s">
        <v>93</v>
      </c>
      <c r="C255" s="4">
        <v>38</v>
      </c>
      <c r="D255" s="8">
        <v>2.89</v>
      </c>
      <c r="E255" s="4">
        <v>32</v>
      </c>
      <c r="F255" s="8">
        <v>4.3099999999999996</v>
      </c>
      <c r="G255" s="4">
        <v>6</v>
      </c>
      <c r="H255" s="8">
        <v>1.07</v>
      </c>
      <c r="I255" s="4">
        <v>0</v>
      </c>
    </row>
    <row r="256" spans="1:9" x14ac:dyDescent="0.2">
      <c r="A256" s="2">
        <v>12</v>
      </c>
      <c r="B256" s="1" t="s">
        <v>86</v>
      </c>
      <c r="C256" s="4">
        <v>34</v>
      </c>
      <c r="D256" s="8">
        <v>2.58</v>
      </c>
      <c r="E256" s="4">
        <v>24</v>
      </c>
      <c r="F256" s="8">
        <v>3.23</v>
      </c>
      <c r="G256" s="4">
        <v>10</v>
      </c>
      <c r="H256" s="8">
        <v>1.78</v>
      </c>
      <c r="I256" s="4">
        <v>0</v>
      </c>
    </row>
    <row r="257" spans="1:9" x14ac:dyDescent="0.2">
      <c r="A257" s="2">
        <v>13</v>
      </c>
      <c r="B257" s="1" t="s">
        <v>78</v>
      </c>
      <c r="C257" s="4">
        <v>30</v>
      </c>
      <c r="D257" s="8">
        <v>2.2799999999999998</v>
      </c>
      <c r="E257" s="4">
        <v>10</v>
      </c>
      <c r="F257" s="8">
        <v>1.35</v>
      </c>
      <c r="G257" s="4">
        <v>20</v>
      </c>
      <c r="H257" s="8">
        <v>3.55</v>
      </c>
      <c r="I257" s="4">
        <v>0</v>
      </c>
    </row>
    <row r="258" spans="1:9" x14ac:dyDescent="0.2">
      <c r="A258" s="2">
        <v>14</v>
      </c>
      <c r="B258" s="1" t="s">
        <v>87</v>
      </c>
      <c r="C258" s="4">
        <v>29</v>
      </c>
      <c r="D258" s="8">
        <v>2.2000000000000002</v>
      </c>
      <c r="E258" s="4">
        <v>7</v>
      </c>
      <c r="F258" s="8">
        <v>0.94</v>
      </c>
      <c r="G258" s="4">
        <v>21</v>
      </c>
      <c r="H258" s="8">
        <v>3.73</v>
      </c>
      <c r="I258" s="4">
        <v>0</v>
      </c>
    </row>
    <row r="259" spans="1:9" x14ac:dyDescent="0.2">
      <c r="A259" s="2">
        <v>14</v>
      </c>
      <c r="B259" s="1" t="s">
        <v>90</v>
      </c>
      <c r="C259" s="4">
        <v>29</v>
      </c>
      <c r="D259" s="8">
        <v>2.2000000000000002</v>
      </c>
      <c r="E259" s="4">
        <v>19</v>
      </c>
      <c r="F259" s="8">
        <v>2.56</v>
      </c>
      <c r="G259" s="4">
        <v>6</v>
      </c>
      <c r="H259" s="8">
        <v>1.07</v>
      </c>
      <c r="I259" s="4">
        <v>0</v>
      </c>
    </row>
    <row r="260" spans="1:9" x14ac:dyDescent="0.2">
      <c r="A260" s="2">
        <v>14</v>
      </c>
      <c r="B260" s="1" t="s">
        <v>91</v>
      </c>
      <c r="C260" s="4">
        <v>29</v>
      </c>
      <c r="D260" s="8">
        <v>2.2000000000000002</v>
      </c>
      <c r="E260" s="4">
        <v>26</v>
      </c>
      <c r="F260" s="8">
        <v>3.5</v>
      </c>
      <c r="G260" s="4">
        <v>3</v>
      </c>
      <c r="H260" s="8">
        <v>0.53</v>
      </c>
      <c r="I260" s="4">
        <v>0</v>
      </c>
    </row>
    <row r="261" spans="1:9" x14ac:dyDescent="0.2">
      <c r="A261" s="2">
        <v>17</v>
      </c>
      <c r="B261" s="1" t="s">
        <v>77</v>
      </c>
      <c r="C261" s="4">
        <v>25</v>
      </c>
      <c r="D261" s="8">
        <v>1.9</v>
      </c>
      <c r="E261" s="4">
        <v>11</v>
      </c>
      <c r="F261" s="8">
        <v>1.48</v>
      </c>
      <c r="G261" s="4">
        <v>13</v>
      </c>
      <c r="H261" s="8">
        <v>2.31</v>
      </c>
      <c r="I261" s="4">
        <v>1</v>
      </c>
    </row>
    <row r="262" spans="1:9" x14ac:dyDescent="0.2">
      <c r="A262" s="2">
        <v>18</v>
      </c>
      <c r="B262" s="1" t="s">
        <v>101</v>
      </c>
      <c r="C262" s="4">
        <v>22</v>
      </c>
      <c r="D262" s="8">
        <v>1.67</v>
      </c>
      <c r="E262" s="4">
        <v>9</v>
      </c>
      <c r="F262" s="8">
        <v>1.21</v>
      </c>
      <c r="G262" s="4">
        <v>10</v>
      </c>
      <c r="H262" s="8">
        <v>1.78</v>
      </c>
      <c r="I262" s="4">
        <v>0</v>
      </c>
    </row>
    <row r="263" spans="1:9" x14ac:dyDescent="0.2">
      <c r="A263" s="2">
        <v>19</v>
      </c>
      <c r="B263" s="1" t="s">
        <v>92</v>
      </c>
      <c r="C263" s="4">
        <v>21</v>
      </c>
      <c r="D263" s="8">
        <v>1.6</v>
      </c>
      <c r="E263" s="4">
        <v>0</v>
      </c>
      <c r="F263" s="8">
        <v>0</v>
      </c>
      <c r="G263" s="4">
        <v>21</v>
      </c>
      <c r="H263" s="8">
        <v>3.73</v>
      </c>
      <c r="I263" s="4">
        <v>0</v>
      </c>
    </row>
    <row r="264" spans="1:9" x14ac:dyDescent="0.2">
      <c r="A264" s="2">
        <v>20</v>
      </c>
      <c r="B264" s="1" t="s">
        <v>99</v>
      </c>
      <c r="C264" s="4">
        <v>15</v>
      </c>
      <c r="D264" s="8">
        <v>1.1399999999999999</v>
      </c>
      <c r="E264" s="4">
        <v>4</v>
      </c>
      <c r="F264" s="8">
        <v>0.54</v>
      </c>
      <c r="G264" s="4">
        <v>11</v>
      </c>
      <c r="H264" s="8">
        <v>1.95</v>
      </c>
      <c r="I264" s="4">
        <v>0</v>
      </c>
    </row>
    <row r="265" spans="1:9" x14ac:dyDescent="0.2">
      <c r="A265" s="2">
        <v>20</v>
      </c>
      <c r="B265" s="1" t="s">
        <v>96</v>
      </c>
      <c r="C265" s="4">
        <v>15</v>
      </c>
      <c r="D265" s="8">
        <v>1.1399999999999999</v>
      </c>
      <c r="E265" s="4">
        <v>7</v>
      </c>
      <c r="F265" s="8">
        <v>0.94</v>
      </c>
      <c r="G265" s="4">
        <v>8</v>
      </c>
      <c r="H265" s="8">
        <v>1.42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88</v>
      </c>
      <c r="C268" s="4">
        <v>185</v>
      </c>
      <c r="D268" s="8">
        <v>14.99</v>
      </c>
      <c r="E268" s="4">
        <v>168</v>
      </c>
      <c r="F268" s="8">
        <v>21.93</v>
      </c>
      <c r="G268" s="4">
        <v>17</v>
      </c>
      <c r="H268" s="8">
        <v>3.93</v>
      </c>
      <c r="I268" s="4">
        <v>0</v>
      </c>
    </row>
    <row r="269" spans="1:9" x14ac:dyDescent="0.2">
      <c r="A269" s="2">
        <v>2</v>
      </c>
      <c r="B269" s="1" t="s">
        <v>89</v>
      </c>
      <c r="C269" s="4">
        <v>160</v>
      </c>
      <c r="D269" s="8">
        <v>12.97</v>
      </c>
      <c r="E269" s="4">
        <v>144</v>
      </c>
      <c r="F269" s="8">
        <v>18.8</v>
      </c>
      <c r="G269" s="4">
        <v>16</v>
      </c>
      <c r="H269" s="8">
        <v>3.7</v>
      </c>
      <c r="I269" s="4">
        <v>0</v>
      </c>
    </row>
    <row r="270" spans="1:9" x14ac:dyDescent="0.2">
      <c r="A270" s="2">
        <v>3</v>
      </c>
      <c r="B270" s="1" t="s">
        <v>83</v>
      </c>
      <c r="C270" s="4">
        <v>103</v>
      </c>
      <c r="D270" s="8">
        <v>8.35</v>
      </c>
      <c r="E270" s="4">
        <v>61</v>
      </c>
      <c r="F270" s="8">
        <v>7.96</v>
      </c>
      <c r="G270" s="4">
        <v>42</v>
      </c>
      <c r="H270" s="8">
        <v>9.6999999999999993</v>
      </c>
      <c r="I270" s="4">
        <v>0</v>
      </c>
    </row>
    <row r="271" spans="1:9" x14ac:dyDescent="0.2">
      <c r="A271" s="2">
        <v>4</v>
      </c>
      <c r="B271" s="1" t="s">
        <v>74</v>
      </c>
      <c r="C271" s="4">
        <v>95</v>
      </c>
      <c r="D271" s="8">
        <v>7.7</v>
      </c>
      <c r="E271" s="4">
        <v>21</v>
      </c>
      <c r="F271" s="8">
        <v>2.74</v>
      </c>
      <c r="G271" s="4">
        <v>74</v>
      </c>
      <c r="H271" s="8">
        <v>17.09</v>
      </c>
      <c r="I271" s="4">
        <v>0</v>
      </c>
    </row>
    <row r="272" spans="1:9" x14ac:dyDescent="0.2">
      <c r="A272" s="2">
        <v>5</v>
      </c>
      <c r="B272" s="1" t="s">
        <v>81</v>
      </c>
      <c r="C272" s="4">
        <v>78</v>
      </c>
      <c r="D272" s="8">
        <v>6.32</v>
      </c>
      <c r="E272" s="4">
        <v>57</v>
      </c>
      <c r="F272" s="8">
        <v>7.44</v>
      </c>
      <c r="G272" s="4">
        <v>21</v>
      </c>
      <c r="H272" s="8">
        <v>4.8499999999999996</v>
      </c>
      <c r="I272" s="4">
        <v>0</v>
      </c>
    </row>
    <row r="273" spans="1:9" x14ac:dyDescent="0.2">
      <c r="A273" s="2">
        <v>6</v>
      </c>
      <c r="B273" s="1" t="s">
        <v>82</v>
      </c>
      <c r="C273" s="4">
        <v>57</v>
      </c>
      <c r="D273" s="8">
        <v>4.62</v>
      </c>
      <c r="E273" s="4">
        <v>42</v>
      </c>
      <c r="F273" s="8">
        <v>5.48</v>
      </c>
      <c r="G273" s="4">
        <v>15</v>
      </c>
      <c r="H273" s="8">
        <v>3.46</v>
      </c>
      <c r="I273" s="4">
        <v>0</v>
      </c>
    </row>
    <row r="274" spans="1:9" x14ac:dyDescent="0.2">
      <c r="A274" s="2">
        <v>7</v>
      </c>
      <c r="B274" s="1" t="s">
        <v>80</v>
      </c>
      <c r="C274" s="4">
        <v>43</v>
      </c>
      <c r="D274" s="8">
        <v>3.48</v>
      </c>
      <c r="E274" s="4">
        <v>26</v>
      </c>
      <c r="F274" s="8">
        <v>3.39</v>
      </c>
      <c r="G274" s="4">
        <v>17</v>
      </c>
      <c r="H274" s="8">
        <v>3.93</v>
      </c>
      <c r="I274" s="4">
        <v>0</v>
      </c>
    </row>
    <row r="275" spans="1:9" x14ac:dyDescent="0.2">
      <c r="A275" s="2">
        <v>8</v>
      </c>
      <c r="B275" s="1" t="s">
        <v>93</v>
      </c>
      <c r="C275" s="4">
        <v>41</v>
      </c>
      <c r="D275" s="8">
        <v>3.32</v>
      </c>
      <c r="E275" s="4">
        <v>36</v>
      </c>
      <c r="F275" s="8">
        <v>4.7</v>
      </c>
      <c r="G275" s="4">
        <v>5</v>
      </c>
      <c r="H275" s="8">
        <v>1.1499999999999999</v>
      </c>
      <c r="I275" s="4">
        <v>0</v>
      </c>
    </row>
    <row r="276" spans="1:9" x14ac:dyDescent="0.2">
      <c r="A276" s="2">
        <v>9</v>
      </c>
      <c r="B276" s="1" t="s">
        <v>75</v>
      </c>
      <c r="C276" s="4">
        <v>39</v>
      </c>
      <c r="D276" s="8">
        <v>3.16</v>
      </c>
      <c r="E276" s="4">
        <v>27</v>
      </c>
      <c r="F276" s="8">
        <v>3.52</v>
      </c>
      <c r="G276" s="4">
        <v>12</v>
      </c>
      <c r="H276" s="8">
        <v>2.77</v>
      </c>
      <c r="I276" s="4">
        <v>0</v>
      </c>
    </row>
    <row r="277" spans="1:9" x14ac:dyDescent="0.2">
      <c r="A277" s="2">
        <v>9</v>
      </c>
      <c r="B277" s="1" t="s">
        <v>91</v>
      </c>
      <c r="C277" s="4">
        <v>39</v>
      </c>
      <c r="D277" s="8">
        <v>3.16</v>
      </c>
      <c r="E277" s="4">
        <v>37</v>
      </c>
      <c r="F277" s="8">
        <v>4.83</v>
      </c>
      <c r="G277" s="4">
        <v>2</v>
      </c>
      <c r="H277" s="8">
        <v>0.46</v>
      </c>
      <c r="I277" s="4">
        <v>0</v>
      </c>
    </row>
    <row r="278" spans="1:9" x14ac:dyDescent="0.2">
      <c r="A278" s="2">
        <v>11</v>
      </c>
      <c r="B278" s="1" t="s">
        <v>76</v>
      </c>
      <c r="C278" s="4">
        <v>33</v>
      </c>
      <c r="D278" s="8">
        <v>2.67</v>
      </c>
      <c r="E278" s="4">
        <v>11</v>
      </c>
      <c r="F278" s="8">
        <v>1.44</v>
      </c>
      <c r="G278" s="4">
        <v>22</v>
      </c>
      <c r="H278" s="8">
        <v>5.08</v>
      </c>
      <c r="I278" s="4">
        <v>0</v>
      </c>
    </row>
    <row r="279" spans="1:9" x14ac:dyDescent="0.2">
      <c r="A279" s="2">
        <v>12</v>
      </c>
      <c r="B279" s="1" t="s">
        <v>85</v>
      </c>
      <c r="C279" s="4">
        <v>28</v>
      </c>
      <c r="D279" s="8">
        <v>2.27</v>
      </c>
      <c r="E279" s="4">
        <v>13</v>
      </c>
      <c r="F279" s="8">
        <v>1.7</v>
      </c>
      <c r="G279" s="4">
        <v>14</v>
      </c>
      <c r="H279" s="8">
        <v>3.23</v>
      </c>
      <c r="I279" s="4">
        <v>0</v>
      </c>
    </row>
    <row r="280" spans="1:9" x14ac:dyDescent="0.2">
      <c r="A280" s="2">
        <v>12</v>
      </c>
      <c r="B280" s="1" t="s">
        <v>86</v>
      </c>
      <c r="C280" s="4">
        <v>28</v>
      </c>
      <c r="D280" s="8">
        <v>2.27</v>
      </c>
      <c r="E280" s="4">
        <v>18</v>
      </c>
      <c r="F280" s="8">
        <v>2.35</v>
      </c>
      <c r="G280" s="4">
        <v>10</v>
      </c>
      <c r="H280" s="8">
        <v>2.31</v>
      </c>
      <c r="I280" s="4">
        <v>0</v>
      </c>
    </row>
    <row r="281" spans="1:9" x14ac:dyDescent="0.2">
      <c r="A281" s="2">
        <v>12</v>
      </c>
      <c r="B281" s="1" t="s">
        <v>92</v>
      </c>
      <c r="C281" s="4">
        <v>28</v>
      </c>
      <c r="D281" s="8">
        <v>2.27</v>
      </c>
      <c r="E281" s="4">
        <v>0</v>
      </c>
      <c r="F281" s="8">
        <v>0</v>
      </c>
      <c r="G281" s="4">
        <v>16</v>
      </c>
      <c r="H281" s="8">
        <v>3.7</v>
      </c>
      <c r="I281" s="4">
        <v>0</v>
      </c>
    </row>
    <row r="282" spans="1:9" x14ac:dyDescent="0.2">
      <c r="A282" s="2">
        <v>15</v>
      </c>
      <c r="B282" s="1" t="s">
        <v>90</v>
      </c>
      <c r="C282" s="4">
        <v>27</v>
      </c>
      <c r="D282" s="8">
        <v>2.19</v>
      </c>
      <c r="E282" s="4">
        <v>10</v>
      </c>
      <c r="F282" s="8">
        <v>1.31</v>
      </c>
      <c r="G282" s="4">
        <v>4</v>
      </c>
      <c r="H282" s="8">
        <v>0.92</v>
      </c>
      <c r="I282" s="4">
        <v>0</v>
      </c>
    </row>
    <row r="283" spans="1:9" x14ac:dyDescent="0.2">
      <c r="A283" s="2">
        <v>16</v>
      </c>
      <c r="B283" s="1" t="s">
        <v>77</v>
      </c>
      <c r="C283" s="4">
        <v>24</v>
      </c>
      <c r="D283" s="8">
        <v>1.94</v>
      </c>
      <c r="E283" s="4">
        <v>13</v>
      </c>
      <c r="F283" s="8">
        <v>1.7</v>
      </c>
      <c r="G283" s="4">
        <v>11</v>
      </c>
      <c r="H283" s="8">
        <v>2.54</v>
      </c>
      <c r="I283" s="4">
        <v>0</v>
      </c>
    </row>
    <row r="284" spans="1:9" x14ac:dyDescent="0.2">
      <c r="A284" s="2">
        <v>17</v>
      </c>
      <c r="B284" s="1" t="s">
        <v>99</v>
      </c>
      <c r="C284" s="4">
        <v>18</v>
      </c>
      <c r="D284" s="8">
        <v>1.46</v>
      </c>
      <c r="E284" s="4">
        <v>5</v>
      </c>
      <c r="F284" s="8">
        <v>0.65</v>
      </c>
      <c r="G284" s="4">
        <v>13</v>
      </c>
      <c r="H284" s="8">
        <v>3</v>
      </c>
      <c r="I284" s="4">
        <v>0</v>
      </c>
    </row>
    <row r="285" spans="1:9" x14ac:dyDescent="0.2">
      <c r="A285" s="2">
        <v>18</v>
      </c>
      <c r="B285" s="1" t="s">
        <v>87</v>
      </c>
      <c r="C285" s="4">
        <v>17</v>
      </c>
      <c r="D285" s="8">
        <v>1.38</v>
      </c>
      <c r="E285" s="4">
        <v>6</v>
      </c>
      <c r="F285" s="8">
        <v>0.78</v>
      </c>
      <c r="G285" s="4">
        <v>9</v>
      </c>
      <c r="H285" s="8">
        <v>2.08</v>
      </c>
      <c r="I285" s="4">
        <v>0</v>
      </c>
    </row>
    <row r="286" spans="1:9" x14ac:dyDescent="0.2">
      <c r="A286" s="2">
        <v>19</v>
      </c>
      <c r="B286" s="1" t="s">
        <v>102</v>
      </c>
      <c r="C286" s="4">
        <v>16</v>
      </c>
      <c r="D286" s="8">
        <v>1.3</v>
      </c>
      <c r="E286" s="4">
        <v>5</v>
      </c>
      <c r="F286" s="8">
        <v>0.65</v>
      </c>
      <c r="G286" s="4">
        <v>11</v>
      </c>
      <c r="H286" s="8">
        <v>2.54</v>
      </c>
      <c r="I286" s="4">
        <v>0</v>
      </c>
    </row>
    <row r="287" spans="1:9" x14ac:dyDescent="0.2">
      <c r="A287" s="2">
        <v>20</v>
      </c>
      <c r="B287" s="1" t="s">
        <v>94</v>
      </c>
      <c r="C287" s="4">
        <v>15</v>
      </c>
      <c r="D287" s="8">
        <v>1.22</v>
      </c>
      <c r="E287" s="4">
        <v>3</v>
      </c>
      <c r="F287" s="8">
        <v>0.39</v>
      </c>
      <c r="G287" s="4">
        <v>12</v>
      </c>
      <c r="H287" s="8">
        <v>2.77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88</v>
      </c>
      <c r="C290" s="4">
        <v>129</v>
      </c>
      <c r="D290" s="8">
        <v>12.06</v>
      </c>
      <c r="E290" s="4">
        <v>112</v>
      </c>
      <c r="F290" s="8">
        <v>19.41</v>
      </c>
      <c r="G290" s="4">
        <v>17</v>
      </c>
      <c r="H290" s="8">
        <v>3.54</v>
      </c>
      <c r="I290" s="4">
        <v>0</v>
      </c>
    </row>
    <row r="291" spans="1:9" x14ac:dyDescent="0.2">
      <c r="A291" s="2">
        <v>2</v>
      </c>
      <c r="B291" s="1" t="s">
        <v>89</v>
      </c>
      <c r="C291" s="4">
        <v>118</v>
      </c>
      <c r="D291" s="8">
        <v>11.03</v>
      </c>
      <c r="E291" s="4">
        <v>103</v>
      </c>
      <c r="F291" s="8">
        <v>17.850000000000001</v>
      </c>
      <c r="G291" s="4">
        <v>15</v>
      </c>
      <c r="H291" s="8">
        <v>3.13</v>
      </c>
      <c r="I291" s="4">
        <v>0</v>
      </c>
    </row>
    <row r="292" spans="1:9" x14ac:dyDescent="0.2">
      <c r="A292" s="2">
        <v>3</v>
      </c>
      <c r="B292" s="1" t="s">
        <v>74</v>
      </c>
      <c r="C292" s="4">
        <v>101</v>
      </c>
      <c r="D292" s="8">
        <v>9.44</v>
      </c>
      <c r="E292" s="4">
        <v>26</v>
      </c>
      <c r="F292" s="8">
        <v>4.51</v>
      </c>
      <c r="G292" s="4">
        <v>75</v>
      </c>
      <c r="H292" s="8">
        <v>15.63</v>
      </c>
      <c r="I292" s="4">
        <v>0</v>
      </c>
    </row>
    <row r="293" spans="1:9" x14ac:dyDescent="0.2">
      <c r="A293" s="2">
        <v>4</v>
      </c>
      <c r="B293" s="1" t="s">
        <v>81</v>
      </c>
      <c r="C293" s="4">
        <v>75</v>
      </c>
      <c r="D293" s="8">
        <v>7.01</v>
      </c>
      <c r="E293" s="4">
        <v>52</v>
      </c>
      <c r="F293" s="8">
        <v>9.01</v>
      </c>
      <c r="G293" s="4">
        <v>22</v>
      </c>
      <c r="H293" s="8">
        <v>4.58</v>
      </c>
      <c r="I293" s="4">
        <v>1</v>
      </c>
    </row>
    <row r="294" spans="1:9" x14ac:dyDescent="0.2">
      <c r="A294" s="2">
        <v>5</v>
      </c>
      <c r="B294" s="1" t="s">
        <v>83</v>
      </c>
      <c r="C294" s="4">
        <v>74</v>
      </c>
      <c r="D294" s="8">
        <v>6.92</v>
      </c>
      <c r="E294" s="4">
        <v>32</v>
      </c>
      <c r="F294" s="8">
        <v>5.55</v>
      </c>
      <c r="G294" s="4">
        <v>42</v>
      </c>
      <c r="H294" s="8">
        <v>8.75</v>
      </c>
      <c r="I294" s="4">
        <v>0</v>
      </c>
    </row>
    <row r="295" spans="1:9" x14ac:dyDescent="0.2">
      <c r="A295" s="2">
        <v>6</v>
      </c>
      <c r="B295" s="1" t="s">
        <v>75</v>
      </c>
      <c r="C295" s="4">
        <v>55</v>
      </c>
      <c r="D295" s="8">
        <v>5.14</v>
      </c>
      <c r="E295" s="4">
        <v>28</v>
      </c>
      <c r="F295" s="8">
        <v>4.8499999999999996</v>
      </c>
      <c r="G295" s="4">
        <v>27</v>
      </c>
      <c r="H295" s="8">
        <v>5.63</v>
      </c>
      <c r="I295" s="4">
        <v>0</v>
      </c>
    </row>
    <row r="296" spans="1:9" x14ac:dyDescent="0.2">
      <c r="A296" s="2">
        <v>7</v>
      </c>
      <c r="B296" s="1" t="s">
        <v>82</v>
      </c>
      <c r="C296" s="4">
        <v>48</v>
      </c>
      <c r="D296" s="8">
        <v>4.49</v>
      </c>
      <c r="E296" s="4">
        <v>27</v>
      </c>
      <c r="F296" s="8">
        <v>4.68</v>
      </c>
      <c r="G296" s="4">
        <v>21</v>
      </c>
      <c r="H296" s="8">
        <v>4.38</v>
      </c>
      <c r="I296" s="4">
        <v>0</v>
      </c>
    </row>
    <row r="297" spans="1:9" x14ac:dyDescent="0.2">
      <c r="A297" s="2">
        <v>8</v>
      </c>
      <c r="B297" s="1" t="s">
        <v>90</v>
      </c>
      <c r="C297" s="4">
        <v>32</v>
      </c>
      <c r="D297" s="8">
        <v>2.99</v>
      </c>
      <c r="E297" s="4">
        <v>22</v>
      </c>
      <c r="F297" s="8">
        <v>3.81</v>
      </c>
      <c r="G297" s="4">
        <v>5</v>
      </c>
      <c r="H297" s="8">
        <v>1.04</v>
      </c>
      <c r="I297" s="4">
        <v>1</v>
      </c>
    </row>
    <row r="298" spans="1:9" x14ac:dyDescent="0.2">
      <c r="A298" s="2">
        <v>8</v>
      </c>
      <c r="B298" s="1" t="s">
        <v>92</v>
      </c>
      <c r="C298" s="4">
        <v>32</v>
      </c>
      <c r="D298" s="8">
        <v>2.99</v>
      </c>
      <c r="E298" s="4">
        <v>0</v>
      </c>
      <c r="F298" s="8">
        <v>0</v>
      </c>
      <c r="G298" s="4">
        <v>32</v>
      </c>
      <c r="H298" s="8">
        <v>6.67</v>
      </c>
      <c r="I298" s="4">
        <v>0</v>
      </c>
    </row>
    <row r="299" spans="1:9" x14ac:dyDescent="0.2">
      <c r="A299" s="2">
        <v>10</v>
      </c>
      <c r="B299" s="1" t="s">
        <v>76</v>
      </c>
      <c r="C299" s="4">
        <v>31</v>
      </c>
      <c r="D299" s="8">
        <v>2.9</v>
      </c>
      <c r="E299" s="4">
        <v>11</v>
      </c>
      <c r="F299" s="8">
        <v>1.91</v>
      </c>
      <c r="G299" s="4">
        <v>20</v>
      </c>
      <c r="H299" s="8">
        <v>4.17</v>
      </c>
      <c r="I299" s="4">
        <v>0</v>
      </c>
    </row>
    <row r="300" spans="1:9" x14ac:dyDescent="0.2">
      <c r="A300" s="2">
        <v>11</v>
      </c>
      <c r="B300" s="1" t="s">
        <v>85</v>
      </c>
      <c r="C300" s="4">
        <v>26</v>
      </c>
      <c r="D300" s="8">
        <v>2.4300000000000002</v>
      </c>
      <c r="E300" s="4">
        <v>11</v>
      </c>
      <c r="F300" s="8">
        <v>1.91</v>
      </c>
      <c r="G300" s="4">
        <v>14</v>
      </c>
      <c r="H300" s="8">
        <v>2.92</v>
      </c>
      <c r="I300" s="4">
        <v>0</v>
      </c>
    </row>
    <row r="301" spans="1:9" x14ac:dyDescent="0.2">
      <c r="A301" s="2">
        <v>11</v>
      </c>
      <c r="B301" s="1" t="s">
        <v>91</v>
      </c>
      <c r="C301" s="4">
        <v>26</v>
      </c>
      <c r="D301" s="8">
        <v>2.4300000000000002</v>
      </c>
      <c r="E301" s="4">
        <v>24</v>
      </c>
      <c r="F301" s="8">
        <v>4.16</v>
      </c>
      <c r="G301" s="4">
        <v>2</v>
      </c>
      <c r="H301" s="8">
        <v>0.42</v>
      </c>
      <c r="I301" s="4">
        <v>0</v>
      </c>
    </row>
    <row r="302" spans="1:9" x14ac:dyDescent="0.2">
      <c r="A302" s="2">
        <v>13</v>
      </c>
      <c r="B302" s="1" t="s">
        <v>93</v>
      </c>
      <c r="C302" s="4">
        <v>25</v>
      </c>
      <c r="D302" s="8">
        <v>2.34</v>
      </c>
      <c r="E302" s="4">
        <v>20</v>
      </c>
      <c r="F302" s="8">
        <v>3.47</v>
      </c>
      <c r="G302" s="4">
        <v>5</v>
      </c>
      <c r="H302" s="8">
        <v>1.04</v>
      </c>
      <c r="I302" s="4">
        <v>0</v>
      </c>
    </row>
    <row r="303" spans="1:9" x14ac:dyDescent="0.2">
      <c r="A303" s="2">
        <v>14</v>
      </c>
      <c r="B303" s="1" t="s">
        <v>87</v>
      </c>
      <c r="C303" s="4">
        <v>24</v>
      </c>
      <c r="D303" s="8">
        <v>2.2400000000000002</v>
      </c>
      <c r="E303" s="4">
        <v>13</v>
      </c>
      <c r="F303" s="8">
        <v>2.25</v>
      </c>
      <c r="G303" s="4">
        <v>11</v>
      </c>
      <c r="H303" s="8">
        <v>2.29</v>
      </c>
      <c r="I303" s="4">
        <v>0</v>
      </c>
    </row>
    <row r="304" spans="1:9" x14ac:dyDescent="0.2">
      <c r="A304" s="2">
        <v>15</v>
      </c>
      <c r="B304" s="1" t="s">
        <v>77</v>
      </c>
      <c r="C304" s="4">
        <v>21</v>
      </c>
      <c r="D304" s="8">
        <v>1.96</v>
      </c>
      <c r="E304" s="4">
        <v>6</v>
      </c>
      <c r="F304" s="8">
        <v>1.04</v>
      </c>
      <c r="G304" s="4">
        <v>15</v>
      </c>
      <c r="H304" s="8">
        <v>3.13</v>
      </c>
      <c r="I304" s="4">
        <v>0</v>
      </c>
    </row>
    <row r="305" spans="1:9" x14ac:dyDescent="0.2">
      <c r="A305" s="2">
        <v>16</v>
      </c>
      <c r="B305" s="1" t="s">
        <v>86</v>
      </c>
      <c r="C305" s="4">
        <v>17</v>
      </c>
      <c r="D305" s="8">
        <v>1.59</v>
      </c>
      <c r="E305" s="4">
        <v>13</v>
      </c>
      <c r="F305" s="8">
        <v>2.25</v>
      </c>
      <c r="G305" s="4">
        <v>4</v>
      </c>
      <c r="H305" s="8">
        <v>0.83</v>
      </c>
      <c r="I305" s="4">
        <v>0</v>
      </c>
    </row>
    <row r="306" spans="1:9" x14ac:dyDescent="0.2">
      <c r="A306" s="2">
        <v>17</v>
      </c>
      <c r="B306" s="1" t="s">
        <v>79</v>
      </c>
      <c r="C306" s="4">
        <v>16</v>
      </c>
      <c r="D306" s="8">
        <v>1.5</v>
      </c>
      <c r="E306" s="4">
        <v>4</v>
      </c>
      <c r="F306" s="8">
        <v>0.69</v>
      </c>
      <c r="G306" s="4">
        <v>12</v>
      </c>
      <c r="H306" s="8">
        <v>2.5</v>
      </c>
      <c r="I306" s="4">
        <v>0</v>
      </c>
    </row>
    <row r="307" spans="1:9" x14ac:dyDescent="0.2">
      <c r="A307" s="2">
        <v>18</v>
      </c>
      <c r="B307" s="1" t="s">
        <v>80</v>
      </c>
      <c r="C307" s="4">
        <v>15</v>
      </c>
      <c r="D307" s="8">
        <v>1.4</v>
      </c>
      <c r="E307" s="4">
        <v>6</v>
      </c>
      <c r="F307" s="8">
        <v>1.04</v>
      </c>
      <c r="G307" s="4">
        <v>9</v>
      </c>
      <c r="H307" s="8">
        <v>1.88</v>
      </c>
      <c r="I307" s="4">
        <v>0</v>
      </c>
    </row>
    <row r="308" spans="1:9" x14ac:dyDescent="0.2">
      <c r="A308" s="2">
        <v>19</v>
      </c>
      <c r="B308" s="1" t="s">
        <v>102</v>
      </c>
      <c r="C308" s="4">
        <v>13</v>
      </c>
      <c r="D308" s="8">
        <v>1.21</v>
      </c>
      <c r="E308" s="4">
        <v>2</v>
      </c>
      <c r="F308" s="8">
        <v>0.35</v>
      </c>
      <c r="G308" s="4">
        <v>11</v>
      </c>
      <c r="H308" s="8">
        <v>2.29</v>
      </c>
      <c r="I308" s="4">
        <v>0</v>
      </c>
    </row>
    <row r="309" spans="1:9" x14ac:dyDescent="0.2">
      <c r="A309" s="2">
        <v>19</v>
      </c>
      <c r="B309" s="1" t="s">
        <v>84</v>
      </c>
      <c r="C309" s="4">
        <v>13</v>
      </c>
      <c r="D309" s="8">
        <v>1.21</v>
      </c>
      <c r="E309" s="4">
        <v>5</v>
      </c>
      <c r="F309" s="8">
        <v>0.87</v>
      </c>
      <c r="G309" s="4">
        <v>8</v>
      </c>
      <c r="H309" s="8">
        <v>1.67</v>
      </c>
      <c r="I309" s="4">
        <v>0</v>
      </c>
    </row>
    <row r="310" spans="1:9" x14ac:dyDescent="0.2">
      <c r="A310" s="1"/>
      <c r="C310" s="4"/>
      <c r="D310" s="8"/>
      <c r="E310" s="4"/>
      <c r="F310" s="8"/>
      <c r="G310" s="4"/>
      <c r="H310" s="8"/>
      <c r="I310" s="4"/>
    </row>
    <row r="311" spans="1:9" x14ac:dyDescent="0.2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2">
      <c r="A312" s="2">
        <v>1</v>
      </c>
      <c r="B312" s="1" t="s">
        <v>89</v>
      </c>
      <c r="C312" s="4">
        <v>94</v>
      </c>
      <c r="D312" s="8">
        <v>12.3</v>
      </c>
      <c r="E312" s="4">
        <v>83</v>
      </c>
      <c r="F312" s="8">
        <v>21.45</v>
      </c>
      <c r="G312" s="4">
        <v>11</v>
      </c>
      <c r="H312" s="8">
        <v>2.95</v>
      </c>
      <c r="I312" s="4">
        <v>0</v>
      </c>
    </row>
    <row r="313" spans="1:9" x14ac:dyDescent="0.2">
      <c r="A313" s="2">
        <v>2</v>
      </c>
      <c r="B313" s="1" t="s">
        <v>74</v>
      </c>
      <c r="C313" s="4">
        <v>64</v>
      </c>
      <c r="D313" s="8">
        <v>8.3800000000000008</v>
      </c>
      <c r="E313" s="4">
        <v>15</v>
      </c>
      <c r="F313" s="8">
        <v>3.88</v>
      </c>
      <c r="G313" s="4">
        <v>49</v>
      </c>
      <c r="H313" s="8">
        <v>13.14</v>
      </c>
      <c r="I313" s="4">
        <v>0</v>
      </c>
    </row>
    <row r="314" spans="1:9" x14ac:dyDescent="0.2">
      <c r="A314" s="2">
        <v>3</v>
      </c>
      <c r="B314" s="1" t="s">
        <v>88</v>
      </c>
      <c r="C314" s="4">
        <v>61</v>
      </c>
      <c r="D314" s="8">
        <v>7.98</v>
      </c>
      <c r="E314" s="4">
        <v>57</v>
      </c>
      <c r="F314" s="8">
        <v>14.73</v>
      </c>
      <c r="G314" s="4">
        <v>4</v>
      </c>
      <c r="H314" s="8">
        <v>1.07</v>
      </c>
      <c r="I314" s="4">
        <v>0</v>
      </c>
    </row>
    <row r="315" spans="1:9" x14ac:dyDescent="0.2">
      <c r="A315" s="2">
        <v>4</v>
      </c>
      <c r="B315" s="1" t="s">
        <v>81</v>
      </c>
      <c r="C315" s="4">
        <v>51</v>
      </c>
      <c r="D315" s="8">
        <v>6.68</v>
      </c>
      <c r="E315" s="4">
        <v>33</v>
      </c>
      <c r="F315" s="8">
        <v>8.5299999999999994</v>
      </c>
      <c r="G315" s="4">
        <v>18</v>
      </c>
      <c r="H315" s="8">
        <v>4.83</v>
      </c>
      <c r="I315" s="4">
        <v>0</v>
      </c>
    </row>
    <row r="316" spans="1:9" x14ac:dyDescent="0.2">
      <c r="A316" s="2">
        <v>5</v>
      </c>
      <c r="B316" s="1" t="s">
        <v>83</v>
      </c>
      <c r="C316" s="4">
        <v>49</v>
      </c>
      <c r="D316" s="8">
        <v>6.41</v>
      </c>
      <c r="E316" s="4">
        <v>17</v>
      </c>
      <c r="F316" s="8">
        <v>4.3899999999999997</v>
      </c>
      <c r="G316" s="4">
        <v>32</v>
      </c>
      <c r="H316" s="8">
        <v>8.58</v>
      </c>
      <c r="I316" s="4">
        <v>0</v>
      </c>
    </row>
    <row r="317" spans="1:9" x14ac:dyDescent="0.2">
      <c r="A317" s="2">
        <v>6</v>
      </c>
      <c r="B317" s="1" t="s">
        <v>75</v>
      </c>
      <c r="C317" s="4">
        <v>44</v>
      </c>
      <c r="D317" s="8">
        <v>5.76</v>
      </c>
      <c r="E317" s="4">
        <v>21</v>
      </c>
      <c r="F317" s="8">
        <v>5.43</v>
      </c>
      <c r="G317" s="4">
        <v>23</v>
      </c>
      <c r="H317" s="8">
        <v>6.17</v>
      </c>
      <c r="I317" s="4">
        <v>0</v>
      </c>
    </row>
    <row r="318" spans="1:9" x14ac:dyDescent="0.2">
      <c r="A318" s="2">
        <v>7</v>
      </c>
      <c r="B318" s="1" t="s">
        <v>76</v>
      </c>
      <c r="C318" s="4">
        <v>35</v>
      </c>
      <c r="D318" s="8">
        <v>4.58</v>
      </c>
      <c r="E318" s="4">
        <v>13</v>
      </c>
      <c r="F318" s="8">
        <v>3.36</v>
      </c>
      <c r="G318" s="4">
        <v>22</v>
      </c>
      <c r="H318" s="8">
        <v>5.9</v>
      </c>
      <c r="I318" s="4">
        <v>0</v>
      </c>
    </row>
    <row r="319" spans="1:9" x14ac:dyDescent="0.2">
      <c r="A319" s="2">
        <v>8</v>
      </c>
      <c r="B319" s="1" t="s">
        <v>91</v>
      </c>
      <c r="C319" s="4">
        <v>28</v>
      </c>
      <c r="D319" s="8">
        <v>3.66</v>
      </c>
      <c r="E319" s="4">
        <v>24</v>
      </c>
      <c r="F319" s="8">
        <v>6.2</v>
      </c>
      <c r="G319" s="4">
        <v>4</v>
      </c>
      <c r="H319" s="8">
        <v>1.07</v>
      </c>
      <c r="I319" s="4">
        <v>0</v>
      </c>
    </row>
    <row r="320" spans="1:9" x14ac:dyDescent="0.2">
      <c r="A320" s="2">
        <v>9</v>
      </c>
      <c r="B320" s="1" t="s">
        <v>82</v>
      </c>
      <c r="C320" s="4">
        <v>27</v>
      </c>
      <c r="D320" s="8">
        <v>3.53</v>
      </c>
      <c r="E320" s="4">
        <v>15</v>
      </c>
      <c r="F320" s="8">
        <v>3.88</v>
      </c>
      <c r="G320" s="4">
        <v>12</v>
      </c>
      <c r="H320" s="8">
        <v>3.22</v>
      </c>
      <c r="I320" s="4">
        <v>0</v>
      </c>
    </row>
    <row r="321" spans="1:9" x14ac:dyDescent="0.2">
      <c r="A321" s="2">
        <v>10</v>
      </c>
      <c r="B321" s="1" t="s">
        <v>90</v>
      </c>
      <c r="C321" s="4">
        <v>24</v>
      </c>
      <c r="D321" s="8">
        <v>3.14</v>
      </c>
      <c r="E321" s="4">
        <v>17</v>
      </c>
      <c r="F321" s="8">
        <v>4.3899999999999997</v>
      </c>
      <c r="G321" s="4">
        <v>7</v>
      </c>
      <c r="H321" s="8">
        <v>1.88</v>
      </c>
      <c r="I321" s="4">
        <v>0</v>
      </c>
    </row>
    <row r="322" spans="1:9" x14ac:dyDescent="0.2">
      <c r="A322" s="2">
        <v>11</v>
      </c>
      <c r="B322" s="1" t="s">
        <v>85</v>
      </c>
      <c r="C322" s="4">
        <v>22</v>
      </c>
      <c r="D322" s="8">
        <v>2.88</v>
      </c>
      <c r="E322" s="4">
        <v>7</v>
      </c>
      <c r="F322" s="8">
        <v>1.81</v>
      </c>
      <c r="G322" s="4">
        <v>15</v>
      </c>
      <c r="H322" s="8">
        <v>4.0199999999999996</v>
      </c>
      <c r="I322" s="4">
        <v>0</v>
      </c>
    </row>
    <row r="323" spans="1:9" x14ac:dyDescent="0.2">
      <c r="A323" s="2">
        <v>11</v>
      </c>
      <c r="B323" s="1" t="s">
        <v>86</v>
      </c>
      <c r="C323" s="4">
        <v>22</v>
      </c>
      <c r="D323" s="8">
        <v>2.88</v>
      </c>
      <c r="E323" s="4">
        <v>16</v>
      </c>
      <c r="F323" s="8">
        <v>4.13</v>
      </c>
      <c r="G323" s="4">
        <v>6</v>
      </c>
      <c r="H323" s="8">
        <v>1.61</v>
      </c>
      <c r="I323" s="4">
        <v>0</v>
      </c>
    </row>
    <row r="324" spans="1:9" x14ac:dyDescent="0.2">
      <c r="A324" s="2">
        <v>13</v>
      </c>
      <c r="B324" s="1" t="s">
        <v>80</v>
      </c>
      <c r="C324" s="4">
        <v>20</v>
      </c>
      <c r="D324" s="8">
        <v>2.62</v>
      </c>
      <c r="E324" s="4">
        <v>6</v>
      </c>
      <c r="F324" s="8">
        <v>1.55</v>
      </c>
      <c r="G324" s="4">
        <v>14</v>
      </c>
      <c r="H324" s="8">
        <v>3.75</v>
      </c>
      <c r="I324" s="4">
        <v>0</v>
      </c>
    </row>
    <row r="325" spans="1:9" x14ac:dyDescent="0.2">
      <c r="A325" s="2">
        <v>13</v>
      </c>
      <c r="B325" s="1" t="s">
        <v>92</v>
      </c>
      <c r="C325" s="4">
        <v>20</v>
      </c>
      <c r="D325" s="8">
        <v>2.62</v>
      </c>
      <c r="E325" s="4">
        <v>0</v>
      </c>
      <c r="F325" s="8">
        <v>0</v>
      </c>
      <c r="G325" s="4">
        <v>20</v>
      </c>
      <c r="H325" s="8">
        <v>5.36</v>
      </c>
      <c r="I325" s="4">
        <v>0</v>
      </c>
    </row>
    <row r="326" spans="1:9" x14ac:dyDescent="0.2">
      <c r="A326" s="2">
        <v>15</v>
      </c>
      <c r="B326" s="1" t="s">
        <v>77</v>
      </c>
      <c r="C326" s="4">
        <v>17</v>
      </c>
      <c r="D326" s="8">
        <v>2.23</v>
      </c>
      <c r="E326" s="4">
        <v>3</v>
      </c>
      <c r="F326" s="8">
        <v>0.78</v>
      </c>
      <c r="G326" s="4">
        <v>14</v>
      </c>
      <c r="H326" s="8">
        <v>3.75</v>
      </c>
      <c r="I326" s="4">
        <v>0</v>
      </c>
    </row>
    <row r="327" spans="1:9" x14ac:dyDescent="0.2">
      <c r="A327" s="2">
        <v>16</v>
      </c>
      <c r="B327" s="1" t="s">
        <v>87</v>
      </c>
      <c r="C327" s="4">
        <v>16</v>
      </c>
      <c r="D327" s="8">
        <v>2.09</v>
      </c>
      <c r="E327" s="4">
        <v>6</v>
      </c>
      <c r="F327" s="8">
        <v>1.55</v>
      </c>
      <c r="G327" s="4">
        <v>10</v>
      </c>
      <c r="H327" s="8">
        <v>2.68</v>
      </c>
      <c r="I327" s="4">
        <v>0</v>
      </c>
    </row>
    <row r="328" spans="1:9" x14ac:dyDescent="0.2">
      <c r="A328" s="2">
        <v>16</v>
      </c>
      <c r="B328" s="1" t="s">
        <v>97</v>
      </c>
      <c r="C328" s="4">
        <v>16</v>
      </c>
      <c r="D328" s="8">
        <v>2.09</v>
      </c>
      <c r="E328" s="4">
        <v>8</v>
      </c>
      <c r="F328" s="8">
        <v>2.0699999999999998</v>
      </c>
      <c r="G328" s="4">
        <v>8</v>
      </c>
      <c r="H328" s="8">
        <v>2.14</v>
      </c>
      <c r="I328" s="4">
        <v>0</v>
      </c>
    </row>
    <row r="329" spans="1:9" x14ac:dyDescent="0.2">
      <c r="A329" s="2">
        <v>18</v>
      </c>
      <c r="B329" s="1" t="s">
        <v>78</v>
      </c>
      <c r="C329" s="4">
        <v>14</v>
      </c>
      <c r="D329" s="8">
        <v>1.83</v>
      </c>
      <c r="E329" s="4">
        <v>3</v>
      </c>
      <c r="F329" s="8">
        <v>0.78</v>
      </c>
      <c r="G329" s="4">
        <v>11</v>
      </c>
      <c r="H329" s="8">
        <v>2.95</v>
      </c>
      <c r="I329" s="4">
        <v>0</v>
      </c>
    </row>
    <row r="330" spans="1:9" x14ac:dyDescent="0.2">
      <c r="A330" s="2">
        <v>19</v>
      </c>
      <c r="B330" s="1" t="s">
        <v>93</v>
      </c>
      <c r="C330" s="4">
        <v>13</v>
      </c>
      <c r="D330" s="8">
        <v>1.7</v>
      </c>
      <c r="E330" s="4">
        <v>11</v>
      </c>
      <c r="F330" s="8">
        <v>2.84</v>
      </c>
      <c r="G330" s="4">
        <v>2</v>
      </c>
      <c r="H330" s="8">
        <v>0.54</v>
      </c>
      <c r="I330" s="4">
        <v>0</v>
      </c>
    </row>
    <row r="331" spans="1:9" x14ac:dyDescent="0.2">
      <c r="A331" s="2">
        <v>20</v>
      </c>
      <c r="B331" s="1" t="s">
        <v>98</v>
      </c>
      <c r="C331" s="4">
        <v>11</v>
      </c>
      <c r="D331" s="8">
        <v>1.44</v>
      </c>
      <c r="E331" s="4">
        <v>3</v>
      </c>
      <c r="F331" s="8">
        <v>0.78</v>
      </c>
      <c r="G331" s="4">
        <v>8</v>
      </c>
      <c r="H331" s="8">
        <v>2.14</v>
      </c>
      <c r="I331" s="4">
        <v>0</v>
      </c>
    </row>
    <row r="332" spans="1:9" x14ac:dyDescent="0.2">
      <c r="A332" s="1"/>
      <c r="C332" s="4"/>
      <c r="D332" s="8"/>
      <c r="E332" s="4"/>
      <c r="F332" s="8"/>
      <c r="G332" s="4"/>
      <c r="H332" s="8"/>
      <c r="I332" s="4"/>
    </row>
    <row r="333" spans="1:9" x14ac:dyDescent="0.2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2">
      <c r="A334" s="2">
        <v>1</v>
      </c>
      <c r="B334" s="1" t="s">
        <v>81</v>
      </c>
      <c r="C334" s="4">
        <v>114</v>
      </c>
      <c r="D334" s="8">
        <v>12.32</v>
      </c>
      <c r="E334" s="4">
        <v>95</v>
      </c>
      <c r="F334" s="8">
        <v>14.91</v>
      </c>
      <c r="G334" s="4">
        <v>19</v>
      </c>
      <c r="H334" s="8">
        <v>6.91</v>
      </c>
      <c r="I334" s="4">
        <v>0</v>
      </c>
    </row>
    <row r="335" spans="1:9" x14ac:dyDescent="0.2">
      <c r="A335" s="2">
        <v>2</v>
      </c>
      <c r="B335" s="1" t="s">
        <v>89</v>
      </c>
      <c r="C335" s="4">
        <v>104</v>
      </c>
      <c r="D335" s="8">
        <v>11.24</v>
      </c>
      <c r="E335" s="4">
        <v>96</v>
      </c>
      <c r="F335" s="8">
        <v>15.07</v>
      </c>
      <c r="G335" s="4">
        <v>8</v>
      </c>
      <c r="H335" s="8">
        <v>2.91</v>
      </c>
      <c r="I335" s="4">
        <v>0</v>
      </c>
    </row>
    <row r="336" spans="1:9" x14ac:dyDescent="0.2">
      <c r="A336" s="2">
        <v>3</v>
      </c>
      <c r="B336" s="1" t="s">
        <v>74</v>
      </c>
      <c r="C336" s="4">
        <v>85</v>
      </c>
      <c r="D336" s="8">
        <v>9.19</v>
      </c>
      <c r="E336" s="4">
        <v>41</v>
      </c>
      <c r="F336" s="8">
        <v>6.44</v>
      </c>
      <c r="G336" s="4">
        <v>44</v>
      </c>
      <c r="H336" s="8">
        <v>16</v>
      </c>
      <c r="I336" s="4">
        <v>0</v>
      </c>
    </row>
    <row r="337" spans="1:9" x14ac:dyDescent="0.2">
      <c r="A337" s="2">
        <v>4</v>
      </c>
      <c r="B337" s="1" t="s">
        <v>85</v>
      </c>
      <c r="C337" s="4">
        <v>75</v>
      </c>
      <c r="D337" s="8">
        <v>8.11</v>
      </c>
      <c r="E337" s="4">
        <v>63</v>
      </c>
      <c r="F337" s="8">
        <v>9.89</v>
      </c>
      <c r="G337" s="4">
        <v>12</v>
      </c>
      <c r="H337" s="8">
        <v>4.3600000000000003</v>
      </c>
      <c r="I337" s="4">
        <v>0</v>
      </c>
    </row>
    <row r="338" spans="1:9" x14ac:dyDescent="0.2">
      <c r="A338" s="2">
        <v>5</v>
      </c>
      <c r="B338" s="1" t="s">
        <v>83</v>
      </c>
      <c r="C338" s="4">
        <v>69</v>
      </c>
      <c r="D338" s="8">
        <v>7.46</v>
      </c>
      <c r="E338" s="4">
        <v>34</v>
      </c>
      <c r="F338" s="8">
        <v>5.34</v>
      </c>
      <c r="G338" s="4">
        <v>35</v>
      </c>
      <c r="H338" s="8">
        <v>12.73</v>
      </c>
      <c r="I338" s="4">
        <v>0</v>
      </c>
    </row>
    <row r="339" spans="1:9" x14ac:dyDescent="0.2">
      <c r="A339" s="2">
        <v>6</v>
      </c>
      <c r="B339" s="1" t="s">
        <v>88</v>
      </c>
      <c r="C339" s="4">
        <v>59</v>
      </c>
      <c r="D339" s="8">
        <v>6.38</v>
      </c>
      <c r="E339" s="4">
        <v>52</v>
      </c>
      <c r="F339" s="8">
        <v>8.16</v>
      </c>
      <c r="G339" s="4">
        <v>7</v>
      </c>
      <c r="H339" s="8">
        <v>2.5499999999999998</v>
      </c>
      <c r="I339" s="4">
        <v>0</v>
      </c>
    </row>
    <row r="340" spans="1:9" x14ac:dyDescent="0.2">
      <c r="A340" s="2">
        <v>7</v>
      </c>
      <c r="B340" s="1" t="s">
        <v>75</v>
      </c>
      <c r="C340" s="4">
        <v>50</v>
      </c>
      <c r="D340" s="8">
        <v>5.41</v>
      </c>
      <c r="E340" s="4">
        <v>46</v>
      </c>
      <c r="F340" s="8">
        <v>7.22</v>
      </c>
      <c r="G340" s="4">
        <v>4</v>
      </c>
      <c r="H340" s="8">
        <v>1.45</v>
      </c>
      <c r="I340" s="4">
        <v>0</v>
      </c>
    </row>
    <row r="341" spans="1:9" x14ac:dyDescent="0.2">
      <c r="A341" s="2">
        <v>8</v>
      </c>
      <c r="B341" s="1" t="s">
        <v>76</v>
      </c>
      <c r="C341" s="4">
        <v>25</v>
      </c>
      <c r="D341" s="8">
        <v>2.7</v>
      </c>
      <c r="E341" s="4">
        <v>15</v>
      </c>
      <c r="F341" s="8">
        <v>2.35</v>
      </c>
      <c r="G341" s="4">
        <v>10</v>
      </c>
      <c r="H341" s="8">
        <v>3.64</v>
      </c>
      <c r="I341" s="4">
        <v>0</v>
      </c>
    </row>
    <row r="342" spans="1:9" x14ac:dyDescent="0.2">
      <c r="A342" s="2">
        <v>9</v>
      </c>
      <c r="B342" s="1" t="s">
        <v>87</v>
      </c>
      <c r="C342" s="4">
        <v>22</v>
      </c>
      <c r="D342" s="8">
        <v>2.38</v>
      </c>
      <c r="E342" s="4">
        <v>8</v>
      </c>
      <c r="F342" s="8">
        <v>1.26</v>
      </c>
      <c r="G342" s="4">
        <v>14</v>
      </c>
      <c r="H342" s="8">
        <v>5.09</v>
      </c>
      <c r="I342" s="4">
        <v>0</v>
      </c>
    </row>
    <row r="343" spans="1:9" x14ac:dyDescent="0.2">
      <c r="A343" s="2">
        <v>10</v>
      </c>
      <c r="B343" s="1" t="s">
        <v>91</v>
      </c>
      <c r="C343" s="4">
        <v>21</v>
      </c>
      <c r="D343" s="8">
        <v>2.27</v>
      </c>
      <c r="E343" s="4">
        <v>21</v>
      </c>
      <c r="F343" s="8">
        <v>3.3</v>
      </c>
      <c r="G343" s="4">
        <v>0</v>
      </c>
      <c r="H343" s="8">
        <v>0</v>
      </c>
      <c r="I343" s="4">
        <v>0</v>
      </c>
    </row>
    <row r="344" spans="1:9" x14ac:dyDescent="0.2">
      <c r="A344" s="2">
        <v>11</v>
      </c>
      <c r="B344" s="1" t="s">
        <v>82</v>
      </c>
      <c r="C344" s="4">
        <v>17</v>
      </c>
      <c r="D344" s="8">
        <v>1.84</v>
      </c>
      <c r="E344" s="4">
        <v>14</v>
      </c>
      <c r="F344" s="8">
        <v>2.2000000000000002</v>
      </c>
      <c r="G344" s="4">
        <v>3</v>
      </c>
      <c r="H344" s="8">
        <v>1.0900000000000001</v>
      </c>
      <c r="I344" s="4">
        <v>0</v>
      </c>
    </row>
    <row r="345" spans="1:9" x14ac:dyDescent="0.2">
      <c r="A345" s="2">
        <v>11</v>
      </c>
      <c r="B345" s="1" t="s">
        <v>90</v>
      </c>
      <c r="C345" s="4">
        <v>17</v>
      </c>
      <c r="D345" s="8">
        <v>1.84</v>
      </c>
      <c r="E345" s="4">
        <v>12</v>
      </c>
      <c r="F345" s="8">
        <v>1.88</v>
      </c>
      <c r="G345" s="4">
        <v>0</v>
      </c>
      <c r="H345" s="8">
        <v>0</v>
      </c>
      <c r="I345" s="4">
        <v>0</v>
      </c>
    </row>
    <row r="346" spans="1:9" x14ac:dyDescent="0.2">
      <c r="A346" s="2">
        <v>13</v>
      </c>
      <c r="B346" s="1" t="s">
        <v>105</v>
      </c>
      <c r="C346" s="4">
        <v>16</v>
      </c>
      <c r="D346" s="8">
        <v>1.73</v>
      </c>
      <c r="E346" s="4">
        <v>3</v>
      </c>
      <c r="F346" s="8">
        <v>0.47</v>
      </c>
      <c r="G346" s="4">
        <v>13</v>
      </c>
      <c r="H346" s="8">
        <v>4.7300000000000004</v>
      </c>
      <c r="I346" s="4">
        <v>0</v>
      </c>
    </row>
    <row r="347" spans="1:9" x14ac:dyDescent="0.2">
      <c r="A347" s="2">
        <v>14</v>
      </c>
      <c r="B347" s="1" t="s">
        <v>77</v>
      </c>
      <c r="C347" s="4">
        <v>15</v>
      </c>
      <c r="D347" s="8">
        <v>1.62</v>
      </c>
      <c r="E347" s="4">
        <v>10</v>
      </c>
      <c r="F347" s="8">
        <v>1.57</v>
      </c>
      <c r="G347" s="4">
        <v>5</v>
      </c>
      <c r="H347" s="8">
        <v>1.82</v>
      </c>
      <c r="I347" s="4">
        <v>0</v>
      </c>
    </row>
    <row r="348" spans="1:9" x14ac:dyDescent="0.2">
      <c r="A348" s="2">
        <v>14</v>
      </c>
      <c r="B348" s="1" t="s">
        <v>104</v>
      </c>
      <c r="C348" s="4">
        <v>15</v>
      </c>
      <c r="D348" s="8">
        <v>1.62</v>
      </c>
      <c r="E348" s="4">
        <v>8</v>
      </c>
      <c r="F348" s="8">
        <v>1.26</v>
      </c>
      <c r="G348" s="4">
        <v>7</v>
      </c>
      <c r="H348" s="8">
        <v>2.5499999999999998</v>
      </c>
      <c r="I348" s="4">
        <v>0</v>
      </c>
    </row>
    <row r="349" spans="1:9" x14ac:dyDescent="0.2">
      <c r="A349" s="2">
        <v>14</v>
      </c>
      <c r="B349" s="1" t="s">
        <v>80</v>
      </c>
      <c r="C349" s="4">
        <v>15</v>
      </c>
      <c r="D349" s="8">
        <v>1.62</v>
      </c>
      <c r="E349" s="4">
        <v>10</v>
      </c>
      <c r="F349" s="8">
        <v>1.57</v>
      </c>
      <c r="G349" s="4">
        <v>5</v>
      </c>
      <c r="H349" s="8">
        <v>1.82</v>
      </c>
      <c r="I349" s="4">
        <v>0</v>
      </c>
    </row>
    <row r="350" spans="1:9" x14ac:dyDescent="0.2">
      <c r="A350" s="2">
        <v>14</v>
      </c>
      <c r="B350" s="1" t="s">
        <v>101</v>
      </c>
      <c r="C350" s="4">
        <v>15</v>
      </c>
      <c r="D350" s="8">
        <v>1.62</v>
      </c>
      <c r="E350" s="4">
        <v>8</v>
      </c>
      <c r="F350" s="8">
        <v>1.26</v>
      </c>
      <c r="G350" s="4">
        <v>2</v>
      </c>
      <c r="H350" s="8">
        <v>0.73</v>
      </c>
      <c r="I350" s="4">
        <v>0</v>
      </c>
    </row>
    <row r="351" spans="1:9" x14ac:dyDescent="0.2">
      <c r="A351" s="2">
        <v>14</v>
      </c>
      <c r="B351" s="1" t="s">
        <v>100</v>
      </c>
      <c r="C351" s="4">
        <v>15</v>
      </c>
      <c r="D351" s="8">
        <v>1.62</v>
      </c>
      <c r="E351" s="4">
        <v>11</v>
      </c>
      <c r="F351" s="8">
        <v>1.73</v>
      </c>
      <c r="G351" s="4">
        <v>4</v>
      </c>
      <c r="H351" s="8">
        <v>1.45</v>
      </c>
      <c r="I351" s="4">
        <v>0</v>
      </c>
    </row>
    <row r="352" spans="1:9" x14ac:dyDescent="0.2">
      <c r="A352" s="2">
        <v>19</v>
      </c>
      <c r="B352" s="1" t="s">
        <v>78</v>
      </c>
      <c r="C352" s="4">
        <v>14</v>
      </c>
      <c r="D352" s="8">
        <v>1.51</v>
      </c>
      <c r="E352" s="4">
        <v>7</v>
      </c>
      <c r="F352" s="8">
        <v>1.1000000000000001</v>
      </c>
      <c r="G352" s="4">
        <v>7</v>
      </c>
      <c r="H352" s="8">
        <v>2.5499999999999998</v>
      </c>
      <c r="I352" s="4">
        <v>0</v>
      </c>
    </row>
    <row r="353" spans="1:9" x14ac:dyDescent="0.2">
      <c r="A353" s="2">
        <v>20</v>
      </c>
      <c r="B353" s="1" t="s">
        <v>103</v>
      </c>
      <c r="C353" s="4">
        <v>13</v>
      </c>
      <c r="D353" s="8">
        <v>1.41</v>
      </c>
      <c r="E353" s="4">
        <v>8</v>
      </c>
      <c r="F353" s="8">
        <v>1.26</v>
      </c>
      <c r="G353" s="4">
        <v>5</v>
      </c>
      <c r="H353" s="8">
        <v>1.82</v>
      </c>
      <c r="I353" s="4">
        <v>0</v>
      </c>
    </row>
    <row r="354" spans="1:9" x14ac:dyDescent="0.2">
      <c r="A354" s="2">
        <v>20</v>
      </c>
      <c r="B354" s="1" t="s">
        <v>99</v>
      </c>
      <c r="C354" s="4">
        <v>13</v>
      </c>
      <c r="D354" s="8">
        <v>1.41</v>
      </c>
      <c r="E354" s="4">
        <v>5</v>
      </c>
      <c r="F354" s="8">
        <v>0.78</v>
      </c>
      <c r="G354" s="4">
        <v>8</v>
      </c>
      <c r="H354" s="8">
        <v>2.91</v>
      </c>
      <c r="I354" s="4">
        <v>0</v>
      </c>
    </row>
    <row r="355" spans="1:9" x14ac:dyDescent="0.2">
      <c r="A355" s="2">
        <v>20</v>
      </c>
      <c r="B355" s="1" t="s">
        <v>92</v>
      </c>
      <c r="C355" s="4">
        <v>13</v>
      </c>
      <c r="D355" s="8">
        <v>1.41</v>
      </c>
      <c r="E355" s="4">
        <v>0</v>
      </c>
      <c r="F355" s="8">
        <v>0</v>
      </c>
      <c r="G355" s="4">
        <v>13</v>
      </c>
      <c r="H355" s="8">
        <v>4.7300000000000004</v>
      </c>
      <c r="I355" s="4">
        <v>0</v>
      </c>
    </row>
    <row r="356" spans="1:9" x14ac:dyDescent="0.2">
      <c r="A356" s="2">
        <v>20</v>
      </c>
      <c r="B356" s="1" t="s">
        <v>93</v>
      </c>
      <c r="C356" s="4">
        <v>13</v>
      </c>
      <c r="D356" s="8">
        <v>1.41</v>
      </c>
      <c r="E356" s="4">
        <v>12</v>
      </c>
      <c r="F356" s="8">
        <v>1.88</v>
      </c>
      <c r="G356" s="4">
        <v>1</v>
      </c>
      <c r="H356" s="8">
        <v>0.36</v>
      </c>
      <c r="I356" s="4">
        <v>0</v>
      </c>
    </row>
    <row r="357" spans="1:9" x14ac:dyDescent="0.2">
      <c r="A357" s="1"/>
      <c r="C357" s="4"/>
      <c r="D357" s="8"/>
      <c r="E357" s="4"/>
      <c r="F357" s="8"/>
      <c r="G357" s="4"/>
      <c r="H357" s="8"/>
      <c r="I357" s="4"/>
    </row>
    <row r="358" spans="1:9" x14ac:dyDescent="0.2">
      <c r="A358" s="1" t="s">
        <v>16</v>
      </c>
      <c r="C358" s="4"/>
      <c r="D358" s="8"/>
      <c r="E358" s="4"/>
      <c r="F358" s="8"/>
      <c r="G358" s="4"/>
      <c r="H358" s="8"/>
      <c r="I358" s="4"/>
    </row>
    <row r="359" spans="1:9" x14ac:dyDescent="0.2">
      <c r="A359" s="2">
        <v>1</v>
      </c>
      <c r="B359" s="1" t="s">
        <v>89</v>
      </c>
      <c r="C359" s="4">
        <v>149</v>
      </c>
      <c r="D359" s="8">
        <v>12.18</v>
      </c>
      <c r="E359" s="4">
        <v>128</v>
      </c>
      <c r="F359" s="8">
        <v>19.16</v>
      </c>
      <c r="G359" s="4">
        <v>21</v>
      </c>
      <c r="H359" s="8">
        <v>3.9</v>
      </c>
      <c r="I359" s="4">
        <v>0</v>
      </c>
    </row>
    <row r="360" spans="1:9" x14ac:dyDescent="0.2">
      <c r="A360" s="2">
        <v>2</v>
      </c>
      <c r="B360" s="1" t="s">
        <v>83</v>
      </c>
      <c r="C360" s="4">
        <v>101</v>
      </c>
      <c r="D360" s="8">
        <v>8.26</v>
      </c>
      <c r="E360" s="4">
        <v>49</v>
      </c>
      <c r="F360" s="8">
        <v>7.34</v>
      </c>
      <c r="G360" s="4">
        <v>52</v>
      </c>
      <c r="H360" s="8">
        <v>9.67</v>
      </c>
      <c r="I360" s="4">
        <v>0</v>
      </c>
    </row>
    <row r="361" spans="1:9" x14ac:dyDescent="0.2">
      <c r="A361" s="2">
        <v>3</v>
      </c>
      <c r="B361" s="1" t="s">
        <v>74</v>
      </c>
      <c r="C361" s="4">
        <v>99</v>
      </c>
      <c r="D361" s="8">
        <v>8.09</v>
      </c>
      <c r="E361" s="4">
        <v>41</v>
      </c>
      <c r="F361" s="8">
        <v>6.14</v>
      </c>
      <c r="G361" s="4">
        <v>58</v>
      </c>
      <c r="H361" s="8">
        <v>10.78</v>
      </c>
      <c r="I361" s="4">
        <v>0</v>
      </c>
    </row>
    <row r="362" spans="1:9" x14ac:dyDescent="0.2">
      <c r="A362" s="2">
        <v>4</v>
      </c>
      <c r="B362" s="1" t="s">
        <v>88</v>
      </c>
      <c r="C362" s="4">
        <v>98</v>
      </c>
      <c r="D362" s="8">
        <v>8.01</v>
      </c>
      <c r="E362" s="4">
        <v>82</v>
      </c>
      <c r="F362" s="8">
        <v>12.28</v>
      </c>
      <c r="G362" s="4">
        <v>15</v>
      </c>
      <c r="H362" s="8">
        <v>2.79</v>
      </c>
      <c r="I362" s="4">
        <v>1</v>
      </c>
    </row>
    <row r="363" spans="1:9" x14ac:dyDescent="0.2">
      <c r="A363" s="2">
        <v>5</v>
      </c>
      <c r="B363" s="1" t="s">
        <v>81</v>
      </c>
      <c r="C363" s="4">
        <v>97</v>
      </c>
      <c r="D363" s="8">
        <v>7.93</v>
      </c>
      <c r="E363" s="4">
        <v>69</v>
      </c>
      <c r="F363" s="8">
        <v>10.33</v>
      </c>
      <c r="G363" s="4">
        <v>28</v>
      </c>
      <c r="H363" s="8">
        <v>5.2</v>
      </c>
      <c r="I363" s="4">
        <v>0</v>
      </c>
    </row>
    <row r="364" spans="1:9" x14ac:dyDescent="0.2">
      <c r="A364" s="2">
        <v>6</v>
      </c>
      <c r="B364" s="1" t="s">
        <v>82</v>
      </c>
      <c r="C364" s="4">
        <v>55</v>
      </c>
      <c r="D364" s="8">
        <v>4.5</v>
      </c>
      <c r="E364" s="4">
        <v>34</v>
      </c>
      <c r="F364" s="8">
        <v>5.09</v>
      </c>
      <c r="G364" s="4">
        <v>21</v>
      </c>
      <c r="H364" s="8">
        <v>3.9</v>
      </c>
      <c r="I364" s="4">
        <v>0</v>
      </c>
    </row>
    <row r="365" spans="1:9" x14ac:dyDescent="0.2">
      <c r="A365" s="2">
        <v>6</v>
      </c>
      <c r="B365" s="1" t="s">
        <v>90</v>
      </c>
      <c r="C365" s="4">
        <v>55</v>
      </c>
      <c r="D365" s="8">
        <v>4.5</v>
      </c>
      <c r="E365" s="4">
        <v>38</v>
      </c>
      <c r="F365" s="8">
        <v>5.69</v>
      </c>
      <c r="G365" s="4">
        <v>7</v>
      </c>
      <c r="H365" s="8">
        <v>1.3</v>
      </c>
      <c r="I365" s="4">
        <v>0</v>
      </c>
    </row>
    <row r="366" spans="1:9" x14ac:dyDescent="0.2">
      <c r="A366" s="2">
        <v>8</v>
      </c>
      <c r="B366" s="1" t="s">
        <v>75</v>
      </c>
      <c r="C366" s="4">
        <v>50</v>
      </c>
      <c r="D366" s="8">
        <v>4.09</v>
      </c>
      <c r="E366" s="4">
        <v>22</v>
      </c>
      <c r="F366" s="8">
        <v>3.29</v>
      </c>
      <c r="G366" s="4">
        <v>28</v>
      </c>
      <c r="H366" s="8">
        <v>5.2</v>
      </c>
      <c r="I366" s="4">
        <v>0</v>
      </c>
    </row>
    <row r="367" spans="1:9" x14ac:dyDescent="0.2">
      <c r="A367" s="2">
        <v>9</v>
      </c>
      <c r="B367" s="1" t="s">
        <v>76</v>
      </c>
      <c r="C367" s="4">
        <v>48</v>
      </c>
      <c r="D367" s="8">
        <v>3.92</v>
      </c>
      <c r="E367" s="4">
        <v>20</v>
      </c>
      <c r="F367" s="8">
        <v>2.99</v>
      </c>
      <c r="G367" s="4">
        <v>28</v>
      </c>
      <c r="H367" s="8">
        <v>5.2</v>
      </c>
      <c r="I367" s="4">
        <v>0</v>
      </c>
    </row>
    <row r="368" spans="1:9" x14ac:dyDescent="0.2">
      <c r="A368" s="2">
        <v>10</v>
      </c>
      <c r="B368" s="1" t="s">
        <v>91</v>
      </c>
      <c r="C368" s="4">
        <v>44</v>
      </c>
      <c r="D368" s="8">
        <v>3.6</v>
      </c>
      <c r="E368" s="4">
        <v>40</v>
      </c>
      <c r="F368" s="8">
        <v>5.99</v>
      </c>
      <c r="G368" s="4">
        <v>4</v>
      </c>
      <c r="H368" s="8">
        <v>0.74</v>
      </c>
      <c r="I368" s="4">
        <v>0</v>
      </c>
    </row>
    <row r="369" spans="1:9" x14ac:dyDescent="0.2">
      <c r="A369" s="2">
        <v>11</v>
      </c>
      <c r="B369" s="1" t="s">
        <v>87</v>
      </c>
      <c r="C369" s="4">
        <v>35</v>
      </c>
      <c r="D369" s="8">
        <v>2.86</v>
      </c>
      <c r="E369" s="4">
        <v>6</v>
      </c>
      <c r="F369" s="8">
        <v>0.9</v>
      </c>
      <c r="G369" s="4">
        <v>29</v>
      </c>
      <c r="H369" s="8">
        <v>5.39</v>
      </c>
      <c r="I369" s="4">
        <v>0</v>
      </c>
    </row>
    <row r="370" spans="1:9" x14ac:dyDescent="0.2">
      <c r="A370" s="2">
        <v>11</v>
      </c>
      <c r="B370" s="1" t="s">
        <v>93</v>
      </c>
      <c r="C370" s="4">
        <v>35</v>
      </c>
      <c r="D370" s="8">
        <v>2.86</v>
      </c>
      <c r="E370" s="4">
        <v>29</v>
      </c>
      <c r="F370" s="8">
        <v>4.34</v>
      </c>
      <c r="G370" s="4">
        <v>6</v>
      </c>
      <c r="H370" s="8">
        <v>1.1200000000000001</v>
      </c>
      <c r="I370" s="4">
        <v>0</v>
      </c>
    </row>
    <row r="371" spans="1:9" x14ac:dyDescent="0.2">
      <c r="A371" s="2">
        <v>13</v>
      </c>
      <c r="B371" s="1" t="s">
        <v>80</v>
      </c>
      <c r="C371" s="4">
        <v>28</v>
      </c>
      <c r="D371" s="8">
        <v>2.29</v>
      </c>
      <c r="E371" s="4">
        <v>9</v>
      </c>
      <c r="F371" s="8">
        <v>1.35</v>
      </c>
      <c r="G371" s="4">
        <v>19</v>
      </c>
      <c r="H371" s="8">
        <v>3.53</v>
      </c>
      <c r="I371" s="4">
        <v>0</v>
      </c>
    </row>
    <row r="372" spans="1:9" x14ac:dyDescent="0.2">
      <c r="A372" s="2">
        <v>14</v>
      </c>
      <c r="B372" s="1" t="s">
        <v>85</v>
      </c>
      <c r="C372" s="4">
        <v>26</v>
      </c>
      <c r="D372" s="8">
        <v>2.13</v>
      </c>
      <c r="E372" s="4">
        <v>8</v>
      </c>
      <c r="F372" s="8">
        <v>1.2</v>
      </c>
      <c r="G372" s="4">
        <v>18</v>
      </c>
      <c r="H372" s="8">
        <v>3.35</v>
      </c>
      <c r="I372" s="4">
        <v>0</v>
      </c>
    </row>
    <row r="373" spans="1:9" x14ac:dyDescent="0.2">
      <c r="A373" s="2">
        <v>15</v>
      </c>
      <c r="B373" s="1" t="s">
        <v>86</v>
      </c>
      <c r="C373" s="4">
        <v>25</v>
      </c>
      <c r="D373" s="8">
        <v>2.04</v>
      </c>
      <c r="E373" s="4">
        <v>19</v>
      </c>
      <c r="F373" s="8">
        <v>2.84</v>
      </c>
      <c r="G373" s="4">
        <v>6</v>
      </c>
      <c r="H373" s="8">
        <v>1.1200000000000001</v>
      </c>
      <c r="I373" s="4">
        <v>0</v>
      </c>
    </row>
    <row r="374" spans="1:9" x14ac:dyDescent="0.2">
      <c r="A374" s="2">
        <v>16</v>
      </c>
      <c r="B374" s="1" t="s">
        <v>78</v>
      </c>
      <c r="C374" s="4">
        <v>21</v>
      </c>
      <c r="D374" s="8">
        <v>1.72</v>
      </c>
      <c r="E374" s="4">
        <v>7</v>
      </c>
      <c r="F374" s="8">
        <v>1.05</v>
      </c>
      <c r="G374" s="4">
        <v>13</v>
      </c>
      <c r="H374" s="8">
        <v>2.42</v>
      </c>
      <c r="I374" s="4">
        <v>1</v>
      </c>
    </row>
    <row r="375" spans="1:9" x14ac:dyDescent="0.2">
      <c r="A375" s="2">
        <v>16</v>
      </c>
      <c r="B375" s="1" t="s">
        <v>92</v>
      </c>
      <c r="C375" s="4">
        <v>21</v>
      </c>
      <c r="D375" s="8">
        <v>1.72</v>
      </c>
      <c r="E375" s="4">
        <v>0</v>
      </c>
      <c r="F375" s="8">
        <v>0</v>
      </c>
      <c r="G375" s="4">
        <v>18</v>
      </c>
      <c r="H375" s="8">
        <v>3.35</v>
      </c>
      <c r="I375" s="4">
        <v>1</v>
      </c>
    </row>
    <row r="376" spans="1:9" x14ac:dyDescent="0.2">
      <c r="A376" s="2">
        <v>18</v>
      </c>
      <c r="B376" s="1" t="s">
        <v>97</v>
      </c>
      <c r="C376" s="4">
        <v>17</v>
      </c>
      <c r="D376" s="8">
        <v>1.39</v>
      </c>
      <c r="E376" s="4">
        <v>9</v>
      </c>
      <c r="F376" s="8">
        <v>1.35</v>
      </c>
      <c r="G376" s="4">
        <v>8</v>
      </c>
      <c r="H376" s="8">
        <v>1.49</v>
      </c>
      <c r="I376" s="4">
        <v>0</v>
      </c>
    </row>
    <row r="377" spans="1:9" x14ac:dyDescent="0.2">
      <c r="A377" s="2">
        <v>19</v>
      </c>
      <c r="B377" s="1" t="s">
        <v>77</v>
      </c>
      <c r="C377" s="4">
        <v>16</v>
      </c>
      <c r="D377" s="8">
        <v>1.31</v>
      </c>
      <c r="E377" s="4">
        <v>5</v>
      </c>
      <c r="F377" s="8">
        <v>0.75</v>
      </c>
      <c r="G377" s="4">
        <v>11</v>
      </c>
      <c r="H377" s="8">
        <v>2.04</v>
      </c>
      <c r="I377" s="4">
        <v>0</v>
      </c>
    </row>
    <row r="378" spans="1:9" x14ac:dyDescent="0.2">
      <c r="A378" s="2">
        <v>19</v>
      </c>
      <c r="B378" s="1" t="s">
        <v>99</v>
      </c>
      <c r="C378" s="4">
        <v>16</v>
      </c>
      <c r="D378" s="8">
        <v>1.31</v>
      </c>
      <c r="E378" s="4">
        <v>4</v>
      </c>
      <c r="F378" s="8">
        <v>0.6</v>
      </c>
      <c r="G378" s="4">
        <v>12</v>
      </c>
      <c r="H378" s="8">
        <v>2.23</v>
      </c>
      <c r="I378" s="4">
        <v>0</v>
      </c>
    </row>
    <row r="379" spans="1:9" x14ac:dyDescent="0.2">
      <c r="A379" s="1"/>
      <c r="C379" s="4"/>
      <c r="D379" s="8"/>
      <c r="E379" s="4"/>
      <c r="F379" s="8"/>
      <c r="G379" s="4"/>
      <c r="H379" s="8"/>
      <c r="I379" s="4"/>
    </row>
    <row r="380" spans="1:9" x14ac:dyDescent="0.2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2">
      <c r="A381" s="2">
        <v>1</v>
      </c>
      <c r="B381" s="1" t="s">
        <v>88</v>
      </c>
      <c r="C381" s="4">
        <v>114</v>
      </c>
      <c r="D381" s="8">
        <v>15.12</v>
      </c>
      <c r="E381" s="4">
        <v>96</v>
      </c>
      <c r="F381" s="8">
        <v>22.22</v>
      </c>
      <c r="G381" s="4">
        <v>18</v>
      </c>
      <c r="H381" s="8">
        <v>5.81</v>
      </c>
      <c r="I381" s="4">
        <v>0</v>
      </c>
    </row>
    <row r="382" spans="1:9" x14ac:dyDescent="0.2">
      <c r="A382" s="2">
        <v>2</v>
      </c>
      <c r="B382" s="1" t="s">
        <v>89</v>
      </c>
      <c r="C382" s="4">
        <v>74</v>
      </c>
      <c r="D382" s="8">
        <v>9.81</v>
      </c>
      <c r="E382" s="4">
        <v>64</v>
      </c>
      <c r="F382" s="8">
        <v>14.81</v>
      </c>
      <c r="G382" s="4">
        <v>9</v>
      </c>
      <c r="H382" s="8">
        <v>2.9</v>
      </c>
      <c r="I382" s="4">
        <v>0</v>
      </c>
    </row>
    <row r="383" spans="1:9" x14ac:dyDescent="0.2">
      <c r="A383" s="2">
        <v>3</v>
      </c>
      <c r="B383" s="1" t="s">
        <v>83</v>
      </c>
      <c r="C383" s="4">
        <v>73</v>
      </c>
      <c r="D383" s="8">
        <v>9.68</v>
      </c>
      <c r="E383" s="4">
        <v>39</v>
      </c>
      <c r="F383" s="8">
        <v>9.0299999999999994</v>
      </c>
      <c r="G383" s="4">
        <v>34</v>
      </c>
      <c r="H383" s="8">
        <v>10.97</v>
      </c>
      <c r="I383" s="4">
        <v>0</v>
      </c>
    </row>
    <row r="384" spans="1:9" x14ac:dyDescent="0.2">
      <c r="A384" s="2">
        <v>4</v>
      </c>
      <c r="B384" s="1" t="s">
        <v>74</v>
      </c>
      <c r="C384" s="4">
        <v>61</v>
      </c>
      <c r="D384" s="8">
        <v>8.09</v>
      </c>
      <c r="E384" s="4">
        <v>15</v>
      </c>
      <c r="F384" s="8">
        <v>3.47</v>
      </c>
      <c r="G384" s="4">
        <v>46</v>
      </c>
      <c r="H384" s="8">
        <v>14.84</v>
      </c>
      <c r="I384" s="4">
        <v>0</v>
      </c>
    </row>
    <row r="385" spans="1:9" x14ac:dyDescent="0.2">
      <c r="A385" s="2">
        <v>5</v>
      </c>
      <c r="B385" s="1" t="s">
        <v>81</v>
      </c>
      <c r="C385" s="4">
        <v>52</v>
      </c>
      <c r="D385" s="8">
        <v>6.9</v>
      </c>
      <c r="E385" s="4">
        <v>37</v>
      </c>
      <c r="F385" s="8">
        <v>8.56</v>
      </c>
      <c r="G385" s="4">
        <v>14</v>
      </c>
      <c r="H385" s="8">
        <v>4.5199999999999996</v>
      </c>
      <c r="I385" s="4">
        <v>1</v>
      </c>
    </row>
    <row r="386" spans="1:9" x14ac:dyDescent="0.2">
      <c r="A386" s="2">
        <v>6</v>
      </c>
      <c r="B386" s="1" t="s">
        <v>106</v>
      </c>
      <c r="C386" s="4">
        <v>29</v>
      </c>
      <c r="D386" s="8">
        <v>3.85</v>
      </c>
      <c r="E386" s="4">
        <v>17</v>
      </c>
      <c r="F386" s="8">
        <v>3.94</v>
      </c>
      <c r="G386" s="4">
        <v>12</v>
      </c>
      <c r="H386" s="8">
        <v>3.87</v>
      </c>
      <c r="I386" s="4">
        <v>0</v>
      </c>
    </row>
    <row r="387" spans="1:9" x14ac:dyDescent="0.2">
      <c r="A387" s="2">
        <v>7</v>
      </c>
      <c r="B387" s="1" t="s">
        <v>75</v>
      </c>
      <c r="C387" s="4">
        <v>24</v>
      </c>
      <c r="D387" s="8">
        <v>3.18</v>
      </c>
      <c r="E387" s="4">
        <v>14</v>
      </c>
      <c r="F387" s="8">
        <v>3.24</v>
      </c>
      <c r="G387" s="4">
        <v>10</v>
      </c>
      <c r="H387" s="8">
        <v>3.23</v>
      </c>
      <c r="I387" s="4">
        <v>0</v>
      </c>
    </row>
    <row r="388" spans="1:9" x14ac:dyDescent="0.2">
      <c r="A388" s="2">
        <v>7</v>
      </c>
      <c r="B388" s="1" t="s">
        <v>82</v>
      </c>
      <c r="C388" s="4">
        <v>24</v>
      </c>
      <c r="D388" s="8">
        <v>3.18</v>
      </c>
      <c r="E388" s="4">
        <v>15</v>
      </c>
      <c r="F388" s="8">
        <v>3.47</v>
      </c>
      <c r="G388" s="4">
        <v>9</v>
      </c>
      <c r="H388" s="8">
        <v>2.9</v>
      </c>
      <c r="I388" s="4">
        <v>0</v>
      </c>
    </row>
    <row r="389" spans="1:9" x14ac:dyDescent="0.2">
      <c r="A389" s="2">
        <v>9</v>
      </c>
      <c r="B389" s="1" t="s">
        <v>91</v>
      </c>
      <c r="C389" s="4">
        <v>22</v>
      </c>
      <c r="D389" s="8">
        <v>2.92</v>
      </c>
      <c r="E389" s="4">
        <v>22</v>
      </c>
      <c r="F389" s="8">
        <v>5.09</v>
      </c>
      <c r="G389" s="4">
        <v>0</v>
      </c>
      <c r="H389" s="8">
        <v>0</v>
      </c>
      <c r="I389" s="4">
        <v>0</v>
      </c>
    </row>
    <row r="390" spans="1:9" x14ac:dyDescent="0.2">
      <c r="A390" s="2">
        <v>10</v>
      </c>
      <c r="B390" s="1" t="s">
        <v>87</v>
      </c>
      <c r="C390" s="4">
        <v>21</v>
      </c>
      <c r="D390" s="8">
        <v>2.79</v>
      </c>
      <c r="E390" s="4">
        <v>7</v>
      </c>
      <c r="F390" s="8">
        <v>1.62</v>
      </c>
      <c r="G390" s="4">
        <v>14</v>
      </c>
      <c r="H390" s="8">
        <v>4.5199999999999996</v>
      </c>
      <c r="I390" s="4">
        <v>0</v>
      </c>
    </row>
    <row r="391" spans="1:9" x14ac:dyDescent="0.2">
      <c r="A391" s="2">
        <v>11</v>
      </c>
      <c r="B391" s="1" t="s">
        <v>86</v>
      </c>
      <c r="C391" s="4">
        <v>19</v>
      </c>
      <c r="D391" s="8">
        <v>2.52</v>
      </c>
      <c r="E391" s="4">
        <v>15</v>
      </c>
      <c r="F391" s="8">
        <v>3.47</v>
      </c>
      <c r="G391" s="4">
        <v>4</v>
      </c>
      <c r="H391" s="8">
        <v>1.29</v>
      </c>
      <c r="I391" s="4">
        <v>0</v>
      </c>
    </row>
    <row r="392" spans="1:9" x14ac:dyDescent="0.2">
      <c r="A392" s="2">
        <v>11</v>
      </c>
      <c r="B392" s="1" t="s">
        <v>90</v>
      </c>
      <c r="C392" s="4">
        <v>19</v>
      </c>
      <c r="D392" s="8">
        <v>2.52</v>
      </c>
      <c r="E392" s="4">
        <v>14</v>
      </c>
      <c r="F392" s="8">
        <v>3.24</v>
      </c>
      <c r="G392" s="4">
        <v>4</v>
      </c>
      <c r="H392" s="8">
        <v>1.29</v>
      </c>
      <c r="I392" s="4">
        <v>1</v>
      </c>
    </row>
    <row r="393" spans="1:9" x14ac:dyDescent="0.2">
      <c r="A393" s="2">
        <v>13</v>
      </c>
      <c r="B393" s="1" t="s">
        <v>80</v>
      </c>
      <c r="C393" s="4">
        <v>18</v>
      </c>
      <c r="D393" s="8">
        <v>2.39</v>
      </c>
      <c r="E393" s="4">
        <v>9</v>
      </c>
      <c r="F393" s="8">
        <v>2.08</v>
      </c>
      <c r="G393" s="4">
        <v>9</v>
      </c>
      <c r="H393" s="8">
        <v>2.9</v>
      </c>
      <c r="I393" s="4">
        <v>0</v>
      </c>
    </row>
    <row r="394" spans="1:9" x14ac:dyDescent="0.2">
      <c r="A394" s="2">
        <v>13</v>
      </c>
      <c r="B394" s="1" t="s">
        <v>93</v>
      </c>
      <c r="C394" s="4">
        <v>18</v>
      </c>
      <c r="D394" s="8">
        <v>2.39</v>
      </c>
      <c r="E394" s="4">
        <v>12</v>
      </c>
      <c r="F394" s="8">
        <v>2.78</v>
      </c>
      <c r="G394" s="4">
        <v>6</v>
      </c>
      <c r="H394" s="8">
        <v>1.94</v>
      </c>
      <c r="I394" s="4">
        <v>0</v>
      </c>
    </row>
    <row r="395" spans="1:9" x14ac:dyDescent="0.2">
      <c r="A395" s="2">
        <v>15</v>
      </c>
      <c r="B395" s="1" t="s">
        <v>77</v>
      </c>
      <c r="C395" s="4">
        <v>17</v>
      </c>
      <c r="D395" s="8">
        <v>2.25</v>
      </c>
      <c r="E395" s="4">
        <v>7</v>
      </c>
      <c r="F395" s="8">
        <v>1.62</v>
      </c>
      <c r="G395" s="4">
        <v>10</v>
      </c>
      <c r="H395" s="8">
        <v>3.23</v>
      </c>
      <c r="I395" s="4">
        <v>0</v>
      </c>
    </row>
    <row r="396" spans="1:9" x14ac:dyDescent="0.2">
      <c r="A396" s="2">
        <v>16</v>
      </c>
      <c r="B396" s="1" t="s">
        <v>78</v>
      </c>
      <c r="C396" s="4">
        <v>14</v>
      </c>
      <c r="D396" s="8">
        <v>1.86</v>
      </c>
      <c r="E396" s="4">
        <v>3</v>
      </c>
      <c r="F396" s="8">
        <v>0.69</v>
      </c>
      <c r="G396" s="4">
        <v>11</v>
      </c>
      <c r="H396" s="8">
        <v>3.55</v>
      </c>
      <c r="I396" s="4">
        <v>0</v>
      </c>
    </row>
    <row r="397" spans="1:9" x14ac:dyDescent="0.2">
      <c r="A397" s="2">
        <v>17</v>
      </c>
      <c r="B397" s="1" t="s">
        <v>85</v>
      </c>
      <c r="C397" s="4">
        <v>11</v>
      </c>
      <c r="D397" s="8">
        <v>1.46</v>
      </c>
      <c r="E397" s="4">
        <v>6</v>
      </c>
      <c r="F397" s="8">
        <v>1.39</v>
      </c>
      <c r="G397" s="4">
        <v>5</v>
      </c>
      <c r="H397" s="8">
        <v>1.61</v>
      </c>
      <c r="I397" s="4">
        <v>0</v>
      </c>
    </row>
    <row r="398" spans="1:9" x14ac:dyDescent="0.2">
      <c r="A398" s="2">
        <v>18</v>
      </c>
      <c r="B398" s="1" t="s">
        <v>99</v>
      </c>
      <c r="C398" s="4">
        <v>10</v>
      </c>
      <c r="D398" s="8">
        <v>1.33</v>
      </c>
      <c r="E398" s="4">
        <v>3</v>
      </c>
      <c r="F398" s="8">
        <v>0.69</v>
      </c>
      <c r="G398" s="4">
        <v>7</v>
      </c>
      <c r="H398" s="8">
        <v>2.2599999999999998</v>
      </c>
      <c r="I398" s="4">
        <v>0</v>
      </c>
    </row>
    <row r="399" spans="1:9" x14ac:dyDescent="0.2">
      <c r="A399" s="2">
        <v>18</v>
      </c>
      <c r="B399" s="1" t="s">
        <v>101</v>
      </c>
      <c r="C399" s="4">
        <v>10</v>
      </c>
      <c r="D399" s="8">
        <v>1.33</v>
      </c>
      <c r="E399" s="4">
        <v>4</v>
      </c>
      <c r="F399" s="8">
        <v>0.93</v>
      </c>
      <c r="G399" s="4">
        <v>5</v>
      </c>
      <c r="H399" s="8">
        <v>1.61</v>
      </c>
      <c r="I399" s="4">
        <v>0</v>
      </c>
    </row>
    <row r="400" spans="1:9" x14ac:dyDescent="0.2">
      <c r="A400" s="2">
        <v>18</v>
      </c>
      <c r="B400" s="1" t="s">
        <v>97</v>
      </c>
      <c r="C400" s="4">
        <v>10</v>
      </c>
      <c r="D400" s="8">
        <v>1.33</v>
      </c>
      <c r="E400" s="4">
        <v>6</v>
      </c>
      <c r="F400" s="8">
        <v>1.39</v>
      </c>
      <c r="G400" s="4">
        <v>3</v>
      </c>
      <c r="H400" s="8">
        <v>0.97</v>
      </c>
      <c r="I400" s="4">
        <v>0</v>
      </c>
    </row>
    <row r="401" spans="1:9" x14ac:dyDescent="0.2">
      <c r="A401" s="1"/>
      <c r="C401" s="4"/>
      <c r="D401" s="8"/>
      <c r="E401" s="4"/>
      <c r="F401" s="8"/>
      <c r="G401" s="4"/>
      <c r="H401" s="8"/>
      <c r="I401" s="4"/>
    </row>
    <row r="402" spans="1:9" x14ac:dyDescent="0.2">
      <c r="A402" s="1" t="s">
        <v>18</v>
      </c>
      <c r="C402" s="4"/>
      <c r="D402" s="8"/>
      <c r="E402" s="4"/>
      <c r="F402" s="8"/>
      <c r="G402" s="4"/>
      <c r="H402" s="8"/>
      <c r="I402" s="4"/>
    </row>
    <row r="403" spans="1:9" x14ac:dyDescent="0.2">
      <c r="A403" s="2">
        <v>1</v>
      </c>
      <c r="B403" s="1" t="s">
        <v>89</v>
      </c>
      <c r="C403" s="4">
        <v>316</v>
      </c>
      <c r="D403" s="8">
        <v>11.29</v>
      </c>
      <c r="E403" s="4">
        <v>298</v>
      </c>
      <c r="F403" s="8">
        <v>15.74</v>
      </c>
      <c r="G403" s="4">
        <v>18</v>
      </c>
      <c r="H403" s="8">
        <v>2.21</v>
      </c>
      <c r="I403" s="4">
        <v>0</v>
      </c>
    </row>
    <row r="404" spans="1:9" x14ac:dyDescent="0.2">
      <c r="A404" s="2">
        <v>2</v>
      </c>
      <c r="B404" s="1" t="s">
        <v>81</v>
      </c>
      <c r="C404" s="4">
        <v>271</v>
      </c>
      <c r="D404" s="8">
        <v>9.68</v>
      </c>
      <c r="E404" s="4">
        <v>221</v>
      </c>
      <c r="F404" s="8">
        <v>11.67</v>
      </c>
      <c r="G404" s="4">
        <v>46</v>
      </c>
      <c r="H404" s="8">
        <v>5.64</v>
      </c>
      <c r="I404" s="4">
        <v>4</v>
      </c>
    </row>
    <row r="405" spans="1:9" x14ac:dyDescent="0.2">
      <c r="A405" s="2">
        <v>3</v>
      </c>
      <c r="B405" s="1" t="s">
        <v>88</v>
      </c>
      <c r="C405" s="4">
        <v>263</v>
      </c>
      <c r="D405" s="8">
        <v>9.39</v>
      </c>
      <c r="E405" s="4">
        <v>245</v>
      </c>
      <c r="F405" s="8">
        <v>12.94</v>
      </c>
      <c r="G405" s="4">
        <v>18</v>
      </c>
      <c r="H405" s="8">
        <v>2.21</v>
      </c>
      <c r="I405" s="4">
        <v>0</v>
      </c>
    </row>
    <row r="406" spans="1:9" x14ac:dyDescent="0.2">
      <c r="A406" s="2">
        <v>4</v>
      </c>
      <c r="B406" s="1" t="s">
        <v>83</v>
      </c>
      <c r="C406" s="4">
        <v>251</v>
      </c>
      <c r="D406" s="8">
        <v>8.9600000000000009</v>
      </c>
      <c r="E406" s="4">
        <v>156</v>
      </c>
      <c r="F406" s="8">
        <v>8.24</v>
      </c>
      <c r="G406" s="4">
        <v>95</v>
      </c>
      <c r="H406" s="8">
        <v>11.66</v>
      </c>
      <c r="I406" s="4">
        <v>0</v>
      </c>
    </row>
    <row r="407" spans="1:9" x14ac:dyDescent="0.2">
      <c r="A407" s="2">
        <v>5</v>
      </c>
      <c r="B407" s="1" t="s">
        <v>74</v>
      </c>
      <c r="C407" s="4">
        <v>172</v>
      </c>
      <c r="D407" s="8">
        <v>6.14</v>
      </c>
      <c r="E407" s="4">
        <v>81</v>
      </c>
      <c r="F407" s="8">
        <v>4.28</v>
      </c>
      <c r="G407" s="4">
        <v>91</v>
      </c>
      <c r="H407" s="8">
        <v>11.17</v>
      </c>
      <c r="I407" s="4">
        <v>0</v>
      </c>
    </row>
    <row r="408" spans="1:9" x14ac:dyDescent="0.2">
      <c r="A408" s="2">
        <v>6</v>
      </c>
      <c r="B408" s="1" t="s">
        <v>85</v>
      </c>
      <c r="C408" s="4">
        <v>123</v>
      </c>
      <c r="D408" s="8">
        <v>4.3899999999999997</v>
      </c>
      <c r="E408" s="4">
        <v>82</v>
      </c>
      <c r="F408" s="8">
        <v>4.33</v>
      </c>
      <c r="G408" s="4">
        <v>41</v>
      </c>
      <c r="H408" s="8">
        <v>5.03</v>
      </c>
      <c r="I408" s="4">
        <v>0</v>
      </c>
    </row>
    <row r="409" spans="1:9" x14ac:dyDescent="0.2">
      <c r="A409" s="2">
        <v>7</v>
      </c>
      <c r="B409" s="1" t="s">
        <v>82</v>
      </c>
      <c r="C409" s="4">
        <v>115</v>
      </c>
      <c r="D409" s="8">
        <v>4.1100000000000003</v>
      </c>
      <c r="E409" s="4">
        <v>95</v>
      </c>
      <c r="F409" s="8">
        <v>5.0199999999999996</v>
      </c>
      <c r="G409" s="4">
        <v>20</v>
      </c>
      <c r="H409" s="8">
        <v>2.4500000000000002</v>
      </c>
      <c r="I409" s="4">
        <v>0</v>
      </c>
    </row>
    <row r="410" spans="1:9" x14ac:dyDescent="0.2">
      <c r="A410" s="2">
        <v>8</v>
      </c>
      <c r="B410" s="1" t="s">
        <v>75</v>
      </c>
      <c r="C410" s="4">
        <v>98</v>
      </c>
      <c r="D410" s="8">
        <v>3.5</v>
      </c>
      <c r="E410" s="4">
        <v>68</v>
      </c>
      <c r="F410" s="8">
        <v>3.59</v>
      </c>
      <c r="G410" s="4">
        <v>30</v>
      </c>
      <c r="H410" s="8">
        <v>3.68</v>
      </c>
      <c r="I410" s="4">
        <v>0</v>
      </c>
    </row>
    <row r="411" spans="1:9" x14ac:dyDescent="0.2">
      <c r="A411" s="2">
        <v>9</v>
      </c>
      <c r="B411" s="1" t="s">
        <v>91</v>
      </c>
      <c r="C411" s="4">
        <v>80</v>
      </c>
      <c r="D411" s="8">
        <v>2.86</v>
      </c>
      <c r="E411" s="4">
        <v>75</v>
      </c>
      <c r="F411" s="8">
        <v>3.96</v>
      </c>
      <c r="G411" s="4">
        <v>5</v>
      </c>
      <c r="H411" s="8">
        <v>0.61</v>
      </c>
      <c r="I411" s="4">
        <v>0</v>
      </c>
    </row>
    <row r="412" spans="1:9" x14ac:dyDescent="0.2">
      <c r="A412" s="2">
        <v>10</v>
      </c>
      <c r="B412" s="1" t="s">
        <v>76</v>
      </c>
      <c r="C412" s="4">
        <v>73</v>
      </c>
      <c r="D412" s="8">
        <v>2.61</v>
      </c>
      <c r="E412" s="4">
        <v>51</v>
      </c>
      <c r="F412" s="8">
        <v>2.69</v>
      </c>
      <c r="G412" s="4">
        <v>22</v>
      </c>
      <c r="H412" s="8">
        <v>2.7</v>
      </c>
      <c r="I412" s="4">
        <v>0</v>
      </c>
    </row>
    <row r="413" spans="1:9" x14ac:dyDescent="0.2">
      <c r="A413" s="2">
        <v>11</v>
      </c>
      <c r="B413" s="1" t="s">
        <v>90</v>
      </c>
      <c r="C413" s="4">
        <v>72</v>
      </c>
      <c r="D413" s="8">
        <v>2.57</v>
      </c>
      <c r="E413" s="4">
        <v>53</v>
      </c>
      <c r="F413" s="8">
        <v>2.8</v>
      </c>
      <c r="G413" s="4">
        <v>5</v>
      </c>
      <c r="H413" s="8">
        <v>0.61</v>
      </c>
      <c r="I413" s="4">
        <v>0</v>
      </c>
    </row>
    <row r="414" spans="1:9" x14ac:dyDescent="0.2">
      <c r="A414" s="2">
        <v>12</v>
      </c>
      <c r="B414" s="1" t="s">
        <v>77</v>
      </c>
      <c r="C414" s="4">
        <v>69</v>
      </c>
      <c r="D414" s="8">
        <v>2.46</v>
      </c>
      <c r="E414" s="4">
        <v>42</v>
      </c>
      <c r="F414" s="8">
        <v>2.2200000000000002</v>
      </c>
      <c r="G414" s="4">
        <v>25</v>
      </c>
      <c r="H414" s="8">
        <v>3.07</v>
      </c>
      <c r="I414" s="4">
        <v>2</v>
      </c>
    </row>
    <row r="415" spans="1:9" x14ac:dyDescent="0.2">
      <c r="A415" s="2">
        <v>13</v>
      </c>
      <c r="B415" s="1" t="s">
        <v>80</v>
      </c>
      <c r="C415" s="4">
        <v>59</v>
      </c>
      <c r="D415" s="8">
        <v>2.11</v>
      </c>
      <c r="E415" s="4">
        <v>33</v>
      </c>
      <c r="F415" s="8">
        <v>1.74</v>
      </c>
      <c r="G415" s="4">
        <v>26</v>
      </c>
      <c r="H415" s="8">
        <v>3.19</v>
      </c>
      <c r="I415" s="4">
        <v>0</v>
      </c>
    </row>
    <row r="416" spans="1:9" x14ac:dyDescent="0.2">
      <c r="A416" s="2">
        <v>14</v>
      </c>
      <c r="B416" s="1" t="s">
        <v>107</v>
      </c>
      <c r="C416" s="4">
        <v>55</v>
      </c>
      <c r="D416" s="8">
        <v>1.96</v>
      </c>
      <c r="E416" s="4">
        <v>0</v>
      </c>
      <c r="F416" s="8">
        <v>0</v>
      </c>
      <c r="G416" s="4">
        <v>1</v>
      </c>
      <c r="H416" s="8">
        <v>0.12</v>
      </c>
      <c r="I416" s="4">
        <v>52</v>
      </c>
    </row>
    <row r="417" spans="1:9" x14ac:dyDescent="0.2">
      <c r="A417" s="2">
        <v>15</v>
      </c>
      <c r="B417" s="1" t="s">
        <v>106</v>
      </c>
      <c r="C417" s="4">
        <v>50</v>
      </c>
      <c r="D417" s="8">
        <v>1.79</v>
      </c>
      <c r="E417" s="4">
        <v>41</v>
      </c>
      <c r="F417" s="8">
        <v>2.17</v>
      </c>
      <c r="G417" s="4">
        <v>9</v>
      </c>
      <c r="H417" s="8">
        <v>1.1000000000000001</v>
      </c>
      <c r="I417" s="4">
        <v>0</v>
      </c>
    </row>
    <row r="418" spans="1:9" x14ac:dyDescent="0.2">
      <c r="A418" s="2">
        <v>16</v>
      </c>
      <c r="B418" s="1" t="s">
        <v>87</v>
      </c>
      <c r="C418" s="4">
        <v>49</v>
      </c>
      <c r="D418" s="8">
        <v>1.75</v>
      </c>
      <c r="E418" s="4">
        <v>24</v>
      </c>
      <c r="F418" s="8">
        <v>1.27</v>
      </c>
      <c r="G418" s="4">
        <v>25</v>
      </c>
      <c r="H418" s="8">
        <v>3.07</v>
      </c>
      <c r="I418" s="4">
        <v>0</v>
      </c>
    </row>
    <row r="419" spans="1:9" x14ac:dyDescent="0.2">
      <c r="A419" s="2">
        <v>17</v>
      </c>
      <c r="B419" s="1" t="s">
        <v>86</v>
      </c>
      <c r="C419" s="4">
        <v>48</v>
      </c>
      <c r="D419" s="8">
        <v>1.71</v>
      </c>
      <c r="E419" s="4">
        <v>38</v>
      </c>
      <c r="F419" s="8">
        <v>2.0099999999999998</v>
      </c>
      <c r="G419" s="4">
        <v>10</v>
      </c>
      <c r="H419" s="8">
        <v>1.23</v>
      </c>
      <c r="I419" s="4">
        <v>0</v>
      </c>
    </row>
    <row r="420" spans="1:9" x14ac:dyDescent="0.2">
      <c r="A420" s="2">
        <v>18</v>
      </c>
      <c r="B420" s="1" t="s">
        <v>92</v>
      </c>
      <c r="C420" s="4">
        <v>47</v>
      </c>
      <c r="D420" s="8">
        <v>1.68</v>
      </c>
      <c r="E420" s="4">
        <v>0</v>
      </c>
      <c r="F420" s="8">
        <v>0</v>
      </c>
      <c r="G420" s="4">
        <v>45</v>
      </c>
      <c r="H420" s="8">
        <v>5.52</v>
      </c>
      <c r="I420" s="4">
        <v>0</v>
      </c>
    </row>
    <row r="421" spans="1:9" x14ac:dyDescent="0.2">
      <c r="A421" s="2">
        <v>19</v>
      </c>
      <c r="B421" s="1" t="s">
        <v>99</v>
      </c>
      <c r="C421" s="4">
        <v>46</v>
      </c>
      <c r="D421" s="8">
        <v>1.64</v>
      </c>
      <c r="E421" s="4">
        <v>18</v>
      </c>
      <c r="F421" s="8">
        <v>0.95</v>
      </c>
      <c r="G421" s="4">
        <v>28</v>
      </c>
      <c r="H421" s="8">
        <v>3.44</v>
      </c>
      <c r="I421" s="4">
        <v>0</v>
      </c>
    </row>
    <row r="422" spans="1:9" x14ac:dyDescent="0.2">
      <c r="A422" s="2">
        <v>19</v>
      </c>
      <c r="B422" s="1" t="s">
        <v>93</v>
      </c>
      <c r="C422" s="4">
        <v>46</v>
      </c>
      <c r="D422" s="8">
        <v>1.64</v>
      </c>
      <c r="E422" s="4">
        <v>41</v>
      </c>
      <c r="F422" s="8">
        <v>2.17</v>
      </c>
      <c r="G422" s="4">
        <v>5</v>
      </c>
      <c r="H422" s="8">
        <v>0.61</v>
      </c>
      <c r="I422" s="4">
        <v>0</v>
      </c>
    </row>
    <row r="423" spans="1:9" x14ac:dyDescent="0.2">
      <c r="A423" s="1"/>
      <c r="C423" s="4"/>
      <c r="D423" s="8"/>
      <c r="E423" s="4"/>
      <c r="F423" s="8"/>
      <c r="G423" s="4"/>
      <c r="H423" s="8"/>
      <c r="I423" s="4"/>
    </row>
    <row r="424" spans="1:9" x14ac:dyDescent="0.2">
      <c r="A424" s="1" t="s">
        <v>19</v>
      </c>
      <c r="C424" s="4"/>
      <c r="D424" s="8"/>
      <c r="E424" s="4"/>
      <c r="F424" s="8"/>
      <c r="G424" s="4"/>
      <c r="H424" s="8"/>
      <c r="I424" s="4"/>
    </row>
    <row r="425" spans="1:9" x14ac:dyDescent="0.2">
      <c r="A425" s="2">
        <v>1</v>
      </c>
      <c r="B425" s="1" t="s">
        <v>89</v>
      </c>
      <c r="C425" s="4">
        <v>110</v>
      </c>
      <c r="D425" s="8">
        <v>12.44</v>
      </c>
      <c r="E425" s="4">
        <v>98</v>
      </c>
      <c r="F425" s="8">
        <v>24.2</v>
      </c>
      <c r="G425" s="4">
        <v>12</v>
      </c>
      <c r="H425" s="8">
        <v>2.56</v>
      </c>
      <c r="I425" s="4">
        <v>0</v>
      </c>
    </row>
    <row r="426" spans="1:9" x14ac:dyDescent="0.2">
      <c r="A426" s="2">
        <v>2</v>
      </c>
      <c r="B426" s="1" t="s">
        <v>74</v>
      </c>
      <c r="C426" s="4">
        <v>59</v>
      </c>
      <c r="D426" s="8">
        <v>6.67</v>
      </c>
      <c r="E426" s="4">
        <v>11</v>
      </c>
      <c r="F426" s="8">
        <v>2.72</v>
      </c>
      <c r="G426" s="4">
        <v>48</v>
      </c>
      <c r="H426" s="8">
        <v>10.26</v>
      </c>
      <c r="I426" s="4">
        <v>0</v>
      </c>
    </row>
    <row r="427" spans="1:9" x14ac:dyDescent="0.2">
      <c r="A427" s="2">
        <v>2</v>
      </c>
      <c r="B427" s="1" t="s">
        <v>88</v>
      </c>
      <c r="C427" s="4">
        <v>59</v>
      </c>
      <c r="D427" s="8">
        <v>6.67</v>
      </c>
      <c r="E427" s="4">
        <v>53</v>
      </c>
      <c r="F427" s="8">
        <v>13.09</v>
      </c>
      <c r="G427" s="4">
        <v>6</v>
      </c>
      <c r="H427" s="8">
        <v>1.28</v>
      </c>
      <c r="I427" s="4">
        <v>0</v>
      </c>
    </row>
    <row r="428" spans="1:9" x14ac:dyDescent="0.2">
      <c r="A428" s="2">
        <v>4</v>
      </c>
      <c r="B428" s="1" t="s">
        <v>83</v>
      </c>
      <c r="C428" s="4">
        <v>54</v>
      </c>
      <c r="D428" s="8">
        <v>6.11</v>
      </c>
      <c r="E428" s="4">
        <v>21</v>
      </c>
      <c r="F428" s="8">
        <v>5.19</v>
      </c>
      <c r="G428" s="4">
        <v>33</v>
      </c>
      <c r="H428" s="8">
        <v>7.05</v>
      </c>
      <c r="I428" s="4">
        <v>0</v>
      </c>
    </row>
    <row r="429" spans="1:9" x14ac:dyDescent="0.2">
      <c r="A429" s="2">
        <v>4</v>
      </c>
      <c r="B429" s="1" t="s">
        <v>90</v>
      </c>
      <c r="C429" s="4">
        <v>54</v>
      </c>
      <c r="D429" s="8">
        <v>6.11</v>
      </c>
      <c r="E429" s="4">
        <v>37</v>
      </c>
      <c r="F429" s="8">
        <v>9.14</v>
      </c>
      <c r="G429" s="4">
        <v>13</v>
      </c>
      <c r="H429" s="8">
        <v>2.78</v>
      </c>
      <c r="I429" s="4">
        <v>0</v>
      </c>
    </row>
    <row r="430" spans="1:9" x14ac:dyDescent="0.2">
      <c r="A430" s="2">
        <v>6</v>
      </c>
      <c r="B430" s="1" t="s">
        <v>75</v>
      </c>
      <c r="C430" s="4">
        <v>51</v>
      </c>
      <c r="D430" s="8">
        <v>5.77</v>
      </c>
      <c r="E430" s="4">
        <v>8</v>
      </c>
      <c r="F430" s="8">
        <v>1.98</v>
      </c>
      <c r="G430" s="4">
        <v>43</v>
      </c>
      <c r="H430" s="8">
        <v>9.19</v>
      </c>
      <c r="I430" s="4">
        <v>0</v>
      </c>
    </row>
    <row r="431" spans="1:9" x14ac:dyDescent="0.2">
      <c r="A431" s="2">
        <v>6</v>
      </c>
      <c r="B431" s="1" t="s">
        <v>81</v>
      </c>
      <c r="C431" s="4">
        <v>51</v>
      </c>
      <c r="D431" s="8">
        <v>5.77</v>
      </c>
      <c r="E431" s="4">
        <v>31</v>
      </c>
      <c r="F431" s="8">
        <v>7.65</v>
      </c>
      <c r="G431" s="4">
        <v>20</v>
      </c>
      <c r="H431" s="8">
        <v>4.2699999999999996</v>
      </c>
      <c r="I431" s="4">
        <v>0</v>
      </c>
    </row>
    <row r="432" spans="1:9" x14ac:dyDescent="0.2">
      <c r="A432" s="2">
        <v>8</v>
      </c>
      <c r="B432" s="1" t="s">
        <v>76</v>
      </c>
      <c r="C432" s="4">
        <v>47</v>
      </c>
      <c r="D432" s="8">
        <v>5.32</v>
      </c>
      <c r="E432" s="4">
        <v>11</v>
      </c>
      <c r="F432" s="8">
        <v>2.72</v>
      </c>
      <c r="G432" s="4">
        <v>36</v>
      </c>
      <c r="H432" s="8">
        <v>7.69</v>
      </c>
      <c r="I432" s="4">
        <v>0</v>
      </c>
    </row>
    <row r="433" spans="1:9" x14ac:dyDescent="0.2">
      <c r="A433" s="2">
        <v>9</v>
      </c>
      <c r="B433" s="1" t="s">
        <v>91</v>
      </c>
      <c r="C433" s="4">
        <v>38</v>
      </c>
      <c r="D433" s="8">
        <v>4.3</v>
      </c>
      <c r="E433" s="4">
        <v>34</v>
      </c>
      <c r="F433" s="8">
        <v>8.4</v>
      </c>
      <c r="G433" s="4">
        <v>4</v>
      </c>
      <c r="H433" s="8">
        <v>0.85</v>
      </c>
      <c r="I433" s="4">
        <v>0</v>
      </c>
    </row>
    <row r="434" spans="1:9" x14ac:dyDescent="0.2">
      <c r="A434" s="2">
        <v>10</v>
      </c>
      <c r="B434" s="1" t="s">
        <v>85</v>
      </c>
      <c r="C434" s="4">
        <v>33</v>
      </c>
      <c r="D434" s="8">
        <v>3.73</v>
      </c>
      <c r="E434" s="4">
        <v>2</v>
      </c>
      <c r="F434" s="8">
        <v>0.49</v>
      </c>
      <c r="G434" s="4">
        <v>31</v>
      </c>
      <c r="H434" s="8">
        <v>6.62</v>
      </c>
      <c r="I434" s="4">
        <v>0</v>
      </c>
    </row>
    <row r="435" spans="1:9" x14ac:dyDescent="0.2">
      <c r="A435" s="2">
        <v>11</v>
      </c>
      <c r="B435" s="1" t="s">
        <v>82</v>
      </c>
      <c r="C435" s="4">
        <v>25</v>
      </c>
      <c r="D435" s="8">
        <v>2.83</v>
      </c>
      <c r="E435" s="4">
        <v>13</v>
      </c>
      <c r="F435" s="8">
        <v>3.21</v>
      </c>
      <c r="G435" s="4">
        <v>12</v>
      </c>
      <c r="H435" s="8">
        <v>2.56</v>
      </c>
      <c r="I435" s="4">
        <v>0</v>
      </c>
    </row>
    <row r="436" spans="1:9" x14ac:dyDescent="0.2">
      <c r="A436" s="2">
        <v>12</v>
      </c>
      <c r="B436" s="1" t="s">
        <v>92</v>
      </c>
      <c r="C436" s="4">
        <v>22</v>
      </c>
      <c r="D436" s="8">
        <v>2.4900000000000002</v>
      </c>
      <c r="E436" s="4">
        <v>0</v>
      </c>
      <c r="F436" s="8">
        <v>0</v>
      </c>
      <c r="G436" s="4">
        <v>19</v>
      </c>
      <c r="H436" s="8">
        <v>4.0599999999999996</v>
      </c>
      <c r="I436" s="4">
        <v>0</v>
      </c>
    </row>
    <row r="437" spans="1:9" x14ac:dyDescent="0.2">
      <c r="A437" s="2">
        <v>13</v>
      </c>
      <c r="B437" s="1" t="s">
        <v>86</v>
      </c>
      <c r="C437" s="4">
        <v>20</v>
      </c>
      <c r="D437" s="8">
        <v>2.2599999999999998</v>
      </c>
      <c r="E437" s="4">
        <v>10</v>
      </c>
      <c r="F437" s="8">
        <v>2.4700000000000002</v>
      </c>
      <c r="G437" s="4">
        <v>10</v>
      </c>
      <c r="H437" s="8">
        <v>2.14</v>
      </c>
      <c r="I437" s="4">
        <v>0</v>
      </c>
    </row>
    <row r="438" spans="1:9" x14ac:dyDescent="0.2">
      <c r="A438" s="2">
        <v>14</v>
      </c>
      <c r="B438" s="1" t="s">
        <v>98</v>
      </c>
      <c r="C438" s="4">
        <v>16</v>
      </c>
      <c r="D438" s="8">
        <v>1.81</v>
      </c>
      <c r="E438" s="4">
        <v>2</v>
      </c>
      <c r="F438" s="8">
        <v>0.49</v>
      </c>
      <c r="G438" s="4">
        <v>14</v>
      </c>
      <c r="H438" s="8">
        <v>2.99</v>
      </c>
      <c r="I438" s="4">
        <v>0</v>
      </c>
    </row>
    <row r="439" spans="1:9" x14ac:dyDescent="0.2">
      <c r="A439" s="2">
        <v>14</v>
      </c>
      <c r="B439" s="1" t="s">
        <v>87</v>
      </c>
      <c r="C439" s="4">
        <v>16</v>
      </c>
      <c r="D439" s="8">
        <v>1.81</v>
      </c>
      <c r="E439" s="4">
        <v>7</v>
      </c>
      <c r="F439" s="8">
        <v>1.73</v>
      </c>
      <c r="G439" s="4">
        <v>9</v>
      </c>
      <c r="H439" s="8">
        <v>1.92</v>
      </c>
      <c r="I439" s="4">
        <v>0</v>
      </c>
    </row>
    <row r="440" spans="1:9" x14ac:dyDescent="0.2">
      <c r="A440" s="2">
        <v>16</v>
      </c>
      <c r="B440" s="1" t="s">
        <v>78</v>
      </c>
      <c r="C440" s="4">
        <v>15</v>
      </c>
      <c r="D440" s="8">
        <v>1.7</v>
      </c>
      <c r="E440" s="4">
        <v>4</v>
      </c>
      <c r="F440" s="8">
        <v>0.99</v>
      </c>
      <c r="G440" s="4">
        <v>11</v>
      </c>
      <c r="H440" s="8">
        <v>2.35</v>
      </c>
      <c r="I440" s="4">
        <v>0</v>
      </c>
    </row>
    <row r="441" spans="1:9" x14ac:dyDescent="0.2">
      <c r="A441" s="2">
        <v>16</v>
      </c>
      <c r="B441" s="1" t="s">
        <v>84</v>
      </c>
      <c r="C441" s="4">
        <v>15</v>
      </c>
      <c r="D441" s="8">
        <v>1.7</v>
      </c>
      <c r="E441" s="4">
        <v>2</v>
      </c>
      <c r="F441" s="8">
        <v>0.49</v>
      </c>
      <c r="G441" s="4">
        <v>13</v>
      </c>
      <c r="H441" s="8">
        <v>2.78</v>
      </c>
      <c r="I441" s="4">
        <v>0</v>
      </c>
    </row>
    <row r="442" spans="1:9" x14ac:dyDescent="0.2">
      <c r="A442" s="2">
        <v>18</v>
      </c>
      <c r="B442" s="1" t="s">
        <v>80</v>
      </c>
      <c r="C442" s="4">
        <v>13</v>
      </c>
      <c r="D442" s="8">
        <v>1.47</v>
      </c>
      <c r="E442" s="4">
        <v>8</v>
      </c>
      <c r="F442" s="8">
        <v>1.98</v>
      </c>
      <c r="G442" s="4">
        <v>5</v>
      </c>
      <c r="H442" s="8">
        <v>1.07</v>
      </c>
      <c r="I442" s="4">
        <v>0</v>
      </c>
    </row>
    <row r="443" spans="1:9" x14ac:dyDescent="0.2">
      <c r="A443" s="2">
        <v>18</v>
      </c>
      <c r="B443" s="1" t="s">
        <v>93</v>
      </c>
      <c r="C443" s="4">
        <v>13</v>
      </c>
      <c r="D443" s="8">
        <v>1.47</v>
      </c>
      <c r="E443" s="4">
        <v>11</v>
      </c>
      <c r="F443" s="8">
        <v>2.72</v>
      </c>
      <c r="G443" s="4">
        <v>2</v>
      </c>
      <c r="H443" s="8">
        <v>0.43</v>
      </c>
      <c r="I443" s="4">
        <v>0</v>
      </c>
    </row>
    <row r="444" spans="1:9" x14ac:dyDescent="0.2">
      <c r="A444" s="2">
        <v>20</v>
      </c>
      <c r="B444" s="1" t="s">
        <v>79</v>
      </c>
      <c r="C444" s="4">
        <v>12</v>
      </c>
      <c r="D444" s="8">
        <v>1.36</v>
      </c>
      <c r="E444" s="4">
        <v>2</v>
      </c>
      <c r="F444" s="8">
        <v>0.49</v>
      </c>
      <c r="G444" s="4">
        <v>10</v>
      </c>
      <c r="H444" s="8">
        <v>2.14</v>
      </c>
      <c r="I444" s="4">
        <v>0</v>
      </c>
    </row>
    <row r="445" spans="1:9" x14ac:dyDescent="0.2">
      <c r="A445" s="2">
        <v>20</v>
      </c>
      <c r="B445" s="1" t="s">
        <v>95</v>
      </c>
      <c r="C445" s="4">
        <v>12</v>
      </c>
      <c r="D445" s="8">
        <v>1.36</v>
      </c>
      <c r="E445" s="4">
        <v>4</v>
      </c>
      <c r="F445" s="8">
        <v>0.99</v>
      </c>
      <c r="G445" s="4">
        <v>8</v>
      </c>
      <c r="H445" s="8">
        <v>1.71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74</v>
      </c>
      <c r="C448" s="4">
        <v>28</v>
      </c>
      <c r="D448" s="8">
        <v>12.5</v>
      </c>
      <c r="E448" s="4">
        <v>10</v>
      </c>
      <c r="F448" s="8">
        <v>6.9</v>
      </c>
      <c r="G448" s="4">
        <v>18</v>
      </c>
      <c r="H448" s="8">
        <v>23.68</v>
      </c>
      <c r="I448" s="4">
        <v>0</v>
      </c>
    </row>
    <row r="449" spans="1:9" x14ac:dyDescent="0.2">
      <c r="A449" s="2">
        <v>1</v>
      </c>
      <c r="B449" s="1" t="s">
        <v>89</v>
      </c>
      <c r="C449" s="4">
        <v>28</v>
      </c>
      <c r="D449" s="8">
        <v>12.5</v>
      </c>
      <c r="E449" s="4">
        <v>28</v>
      </c>
      <c r="F449" s="8">
        <v>19.309999999999999</v>
      </c>
      <c r="G449" s="4">
        <v>0</v>
      </c>
      <c r="H449" s="8">
        <v>0</v>
      </c>
      <c r="I449" s="4">
        <v>0</v>
      </c>
    </row>
    <row r="450" spans="1:9" x14ac:dyDescent="0.2">
      <c r="A450" s="2">
        <v>3</v>
      </c>
      <c r="B450" s="1" t="s">
        <v>83</v>
      </c>
      <c r="C450" s="4">
        <v>24</v>
      </c>
      <c r="D450" s="8">
        <v>10.71</v>
      </c>
      <c r="E450" s="4">
        <v>13</v>
      </c>
      <c r="F450" s="8">
        <v>8.9700000000000006</v>
      </c>
      <c r="G450" s="4">
        <v>11</v>
      </c>
      <c r="H450" s="8">
        <v>14.47</v>
      </c>
      <c r="I450" s="4">
        <v>0</v>
      </c>
    </row>
    <row r="451" spans="1:9" x14ac:dyDescent="0.2">
      <c r="A451" s="2">
        <v>4</v>
      </c>
      <c r="B451" s="1" t="s">
        <v>75</v>
      </c>
      <c r="C451" s="4">
        <v>16</v>
      </c>
      <c r="D451" s="8">
        <v>7.14</v>
      </c>
      <c r="E451" s="4">
        <v>13</v>
      </c>
      <c r="F451" s="8">
        <v>8.9700000000000006</v>
      </c>
      <c r="G451" s="4">
        <v>3</v>
      </c>
      <c r="H451" s="8">
        <v>3.95</v>
      </c>
      <c r="I451" s="4">
        <v>0</v>
      </c>
    </row>
    <row r="452" spans="1:9" x14ac:dyDescent="0.2">
      <c r="A452" s="2">
        <v>5</v>
      </c>
      <c r="B452" s="1" t="s">
        <v>81</v>
      </c>
      <c r="C452" s="4">
        <v>15</v>
      </c>
      <c r="D452" s="8">
        <v>6.7</v>
      </c>
      <c r="E452" s="4">
        <v>12</v>
      </c>
      <c r="F452" s="8">
        <v>8.2799999999999994</v>
      </c>
      <c r="G452" s="4">
        <v>2</v>
      </c>
      <c r="H452" s="8">
        <v>2.63</v>
      </c>
      <c r="I452" s="4">
        <v>1</v>
      </c>
    </row>
    <row r="453" spans="1:9" x14ac:dyDescent="0.2">
      <c r="A453" s="2">
        <v>6</v>
      </c>
      <c r="B453" s="1" t="s">
        <v>88</v>
      </c>
      <c r="C453" s="4">
        <v>14</v>
      </c>
      <c r="D453" s="8">
        <v>6.25</v>
      </c>
      <c r="E453" s="4">
        <v>12</v>
      </c>
      <c r="F453" s="8">
        <v>8.2799999999999994</v>
      </c>
      <c r="G453" s="4">
        <v>2</v>
      </c>
      <c r="H453" s="8">
        <v>2.63</v>
      </c>
      <c r="I453" s="4">
        <v>0</v>
      </c>
    </row>
    <row r="454" spans="1:9" x14ac:dyDescent="0.2">
      <c r="A454" s="2">
        <v>7</v>
      </c>
      <c r="B454" s="1" t="s">
        <v>82</v>
      </c>
      <c r="C454" s="4">
        <v>8</v>
      </c>
      <c r="D454" s="8">
        <v>3.57</v>
      </c>
      <c r="E454" s="4">
        <v>5</v>
      </c>
      <c r="F454" s="8">
        <v>3.45</v>
      </c>
      <c r="G454" s="4">
        <v>3</v>
      </c>
      <c r="H454" s="8">
        <v>3.95</v>
      </c>
      <c r="I454" s="4">
        <v>0</v>
      </c>
    </row>
    <row r="455" spans="1:9" x14ac:dyDescent="0.2">
      <c r="A455" s="2">
        <v>8</v>
      </c>
      <c r="B455" s="1" t="s">
        <v>76</v>
      </c>
      <c r="C455" s="4">
        <v>7</v>
      </c>
      <c r="D455" s="8">
        <v>3.13</v>
      </c>
      <c r="E455" s="4">
        <v>5</v>
      </c>
      <c r="F455" s="8">
        <v>3.45</v>
      </c>
      <c r="G455" s="4">
        <v>2</v>
      </c>
      <c r="H455" s="8">
        <v>2.63</v>
      </c>
      <c r="I455" s="4">
        <v>0</v>
      </c>
    </row>
    <row r="456" spans="1:9" x14ac:dyDescent="0.2">
      <c r="A456" s="2">
        <v>9</v>
      </c>
      <c r="B456" s="1" t="s">
        <v>91</v>
      </c>
      <c r="C456" s="4">
        <v>6</v>
      </c>
      <c r="D456" s="8">
        <v>2.68</v>
      </c>
      <c r="E456" s="4">
        <v>5</v>
      </c>
      <c r="F456" s="8">
        <v>3.45</v>
      </c>
      <c r="G456" s="4">
        <v>1</v>
      </c>
      <c r="H456" s="8">
        <v>1.32</v>
      </c>
      <c r="I456" s="4">
        <v>0</v>
      </c>
    </row>
    <row r="457" spans="1:9" x14ac:dyDescent="0.2">
      <c r="A457" s="2">
        <v>9</v>
      </c>
      <c r="B457" s="1" t="s">
        <v>93</v>
      </c>
      <c r="C457" s="4">
        <v>6</v>
      </c>
      <c r="D457" s="8">
        <v>2.68</v>
      </c>
      <c r="E457" s="4">
        <v>5</v>
      </c>
      <c r="F457" s="8">
        <v>3.45</v>
      </c>
      <c r="G457" s="4">
        <v>1</v>
      </c>
      <c r="H457" s="8">
        <v>1.32</v>
      </c>
      <c r="I457" s="4">
        <v>0</v>
      </c>
    </row>
    <row r="458" spans="1:9" x14ac:dyDescent="0.2">
      <c r="A458" s="2">
        <v>11</v>
      </c>
      <c r="B458" s="1" t="s">
        <v>78</v>
      </c>
      <c r="C458" s="4">
        <v>5</v>
      </c>
      <c r="D458" s="8">
        <v>2.23</v>
      </c>
      <c r="E458" s="4">
        <v>3</v>
      </c>
      <c r="F458" s="8">
        <v>2.0699999999999998</v>
      </c>
      <c r="G458" s="4">
        <v>2</v>
      </c>
      <c r="H458" s="8">
        <v>2.63</v>
      </c>
      <c r="I458" s="4">
        <v>0</v>
      </c>
    </row>
    <row r="459" spans="1:9" x14ac:dyDescent="0.2">
      <c r="A459" s="2">
        <v>11</v>
      </c>
      <c r="B459" s="1" t="s">
        <v>101</v>
      </c>
      <c r="C459" s="4">
        <v>5</v>
      </c>
      <c r="D459" s="8">
        <v>2.23</v>
      </c>
      <c r="E459" s="4">
        <v>3</v>
      </c>
      <c r="F459" s="8">
        <v>2.0699999999999998</v>
      </c>
      <c r="G459" s="4">
        <v>2</v>
      </c>
      <c r="H459" s="8">
        <v>2.63</v>
      </c>
      <c r="I459" s="4">
        <v>0</v>
      </c>
    </row>
    <row r="460" spans="1:9" x14ac:dyDescent="0.2">
      <c r="A460" s="2">
        <v>13</v>
      </c>
      <c r="B460" s="1" t="s">
        <v>77</v>
      </c>
      <c r="C460" s="4">
        <v>4</v>
      </c>
      <c r="D460" s="8">
        <v>1.79</v>
      </c>
      <c r="E460" s="4">
        <v>4</v>
      </c>
      <c r="F460" s="8">
        <v>2.76</v>
      </c>
      <c r="G460" s="4">
        <v>0</v>
      </c>
      <c r="H460" s="8">
        <v>0</v>
      </c>
      <c r="I460" s="4">
        <v>0</v>
      </c>
    </row>
    <row r="461" spans="1:9" x14ac:dyDescent="0.2">
      <c r="A461" s="2">
        <v>13</v>
      </c>
      <c r="B461" s="1" t="s">
        <v>108</v>
      </c>
      <c r="C461" s="4">
        <v>4</v>
      </c>
      <c r="D461" s="8">
        <v>1.79</v>
      </c>
      <c r="E461" s="4">
        <v>4</v>
      </c>
      <c r="F461" s="8">
        <v>2.76</v>
      </c>
      <c r="G461" s="4">
        <v>0</v>
      </c>
      <c r="H461" s="8">
        <v>0</v>
      </c>
      <c r="I461" s="4">
        <v>0</v>
      </c>
    </row>
    <row r="462" spans="1:9" x14ac:dyDescent="0.2">
      <c r="A462" s="2">
        <v>13</v>
      </c>
      <c r="B462" s="1" t="s">
        <v>109</v>
      </c>
      <c r="C462" s="4">
        <v>4</v>
      </c>
      <c r="D462" s="8">
        <v>1.79</v>
      </c>
      <c r="E462" s="4">
        <v>1</v>
      </c>
      <c r="F462" s="8">
        <v>0.69</v>
      </c>
      <c r="G462" s="4">
        <v>3</v>
      </c>
      <c r="H462" s="8">
        <v>3.95</v>
      </c>
      <c r="I462" s="4">
        <v>0</v>
      </c>
    </row>
    <row r="463" spans="1:9" x14ac:dyDescent="0.2">
      <c r="A463" s="2">
        <v>13</v>
      </c>
      <c r="B463" s="1" t="s">
        <v>111</v>
      </c>
      <c r="C463" s="4">
        <v>4</v>
      </c>
      <c r="D463" s="8">
        <v>1.79</v>
      </c>
      <c r="E463" s="4">
        <v>0</v>
      </c>
      <c r="F463" s="8">
        <v>0</v>
      </c>
      <c r="G463" s="4">
        <v>4</v>
      </c>
      <c r="H463" s="8">
        <v>5.26</v>
      </c>
      <c r="I463" s="4">
        <v>0</v>
      </c>
    </row>
    <row r="464" spans="1:9" x14ac:dyDescent="0.2">
      <c r="A464" s="2">
        <v>13</v>
      </c>
      <c r="B464" s="1" t="s">
        <v>87</v>
      </c>
      <c r="C464" s="4">
        <v>4</v>
      </c>
      <c r="D464" s="8">
        <v>1.79</v>
      </c>
      <c r="E464" s="4">
        <v>2</v>
      </c>
      <c r="F464" s="8">
        <v>1.38</v>
      </c>
      <c r="G464" s="4">
        <v>2</v>
      </c>
      <c r="H464" s="8">
        <v>2.63</v>
      </c>
      <c r="I464" s="4">
        <v>0</v>
      </c>
    </row>
    <row r="465" spans="1:9" x14ac:dyDescent="0.2">
      <c r="A465" s="2">
        <v>13</v>
      </c>
      <c r="B465" s="1" t="s">
        <v>90</v>
      </c>
      <c r="C465" s="4">
        <v>4</v>
      </c>
      <c r="D465" s="8">
        <v>1.79</v>
      </c>
      <c r="E465" s="4">
        <v>4</v>
      </c>
      <c r="F465" s="8">
        <v>2.76</v>
      </c>
      <c r="G465" s="4">
        <v>0</v>
      </c>
      <c r="H465" s="8">
        <v>0</v>
      </c>
      <c r="I465" s="4">
        <v>0</v>
      </c>
    </row>
    <row r="466" spans="1:9" x14ac:dyDescent="0.2">
      <c r="A466" s="2">
        <v>19</v>
      </c>
      <c r="B466" s="1" t="s">
        <v>86</v>
      </c>
      <c r="C466" s="4">
        <v>3</v>
      </c>
      <c r="D466" s="8">
        <v>1.34</v>
      </c>
      <c r="E466" s="4">
        <v>3</v>
      </c>
      <c r="F466" s="8">
        <v>2.0699999999999998</v>
      </c>
      <c r="G466" s="4">
        <v>0</v>
      </c>
      <c r="H466" s="8">
        <v>0</v>
      </c>
      <c r="I466" s="4">
        <v>0</v>
      </c>
    </row>
    <row r="467" spans="1:9" x14ac:dyDescent="0.2">
      <c r="A467" s="2">
        <v>20</v>
      </c>
      <c r="B467" s="1" t="s">
        <v>110</v>
      </c>
      <c r="C467" s="4">
        <v>2</v>
      </c>
      <c r="D467" s="8">
        <v>0.89</v>
      </c>
      <c r="E467" s="4">
        <v>1</v>
      </c>
      <c r="F467" s="8">
        <v>0.69</v>
      </c>
      <c r="G467" s="4">
        <v>1</v>
      </c>
      <c r="H467" s="8">
        <v>1.32</v>
      </c>
      <c r="I467" s="4">
        <v>0</v>
      </c>
    </row>
    <row r="468" spans="1:9" x14ac:dyDescent="0.2">
      <c r="A468" s="2">
        <v>20</v>
      </c>
      <c r="B468" s="1" t="s">
        <v>102</v>
      </c>
      <c r="C468" s="4">
        <v>2</v>
      </c>
      <c r="D468" s="8">
        <v>0.89</v>
      </c>
      <c r="E468" s="4">
        <v>0</v>
      </c>
      <c r="F468" s="8">
        <v>0</v>
      </c>
      <c r="G468" s="4">
        <v>2</v>
      </c>
      <c r="H468" s="8">
        <v>2.63</v>
      </c>
      <c r="I468" s="4">
        <v>0</v>
      </c>
    </row>
    <row r="469" spans="1:9" x14ac:dyDescent="0.2">
      <c r="A469" s="2">
        <v>20</v>
      </c>
      <c r="B469" s="1" t="s">
        <v>112</v>
      </c>
      <c r="C469" s="4">
        <v>2</v>
      </c>
      <c r="D469" s="8">
        <v>0.89</v>
      </c>
      <c r="E469" s="4">
        <v>0</v>
      </c>
      <c r="F469" s="8">
        <v>0</v>
      </c>
      <c r="G469" s="4">
        <v>1</v>
      </c>
      <c r="H469" s="8">
        <v>1.32</v>
      </c>
      <c r="I469" s="4">
        <v>0</v>
      </c>
    </row>
    <row r="470" spans="1:9" x14ac:dyDescent="0.2">
      <c r="A470" s="2">
        <v>20</v>
      </c>
      <c r="B470" s="1" t="s">
        <v>113</v>
      </c>
      <c r="C470" s="4">
        <v>2</v>
      </c>
      <c r="D470" s="8">
        <v>0.89</v>
      </c>
      <c r="E470" s="4">
        <v>0</v>
      </c>
      <c r="F470" s="8">
        <v>0</v>
      </c>
      <c r="G470" s="4">
        <v>1</v>
      </c>
      <c r="H470" s="8">
        <v>1.32</v>
      </c>
      <c r="I470" s="4">
        <v>0</v>
      </c>
    </row>
    <row r="471" spans="1:9" x14ac:dyDescent="0.2">
      <c r="A471" s="2">
        <v>20</v>
      </c>
      <c r="B471" s="1" t="s">
        <v>114</v>
      </c>
      <c r="C471" s="4">
        <v>2</v>
      </c>
      <c r="D471" s="8">
        <v>0.89</v>
      </c>
      <c r="E471" s="4">
        <v>1</v>
      </c>
      <c r="F471" s="8">
        <v>0.69</v>
      </c>
      <c r="G471" s="4">
        <v>1</v>
      </c>
      <c r="H471" s="8">
        <v>1.32</v>
      </c>
      <c r="I471" s="4">
        <v>0</v>
      </c>
    </row>
    <row r="472" spans="1:9" x14ac:dyDescent="0.2">
      <c r="A472" s="2">
        <v>20</v>
      </c>
      <c r="B472" s="1" t="s">
        <v>80</v>
      </c>
      <c r="C472" s="4">
        <v>2</v>
      </c>
      <c r="D472" s="8">
        <v>0.89</v>
      </c>
      <c r="E472" s="4">
        <v>2</v>
      </c>
      <c r="F472" s="8">
        <v>1.38</v>
      </c>
      <c r="G472" s="4">
        <v>0</v>
      </c>
      <c r="H472" s="8">
        <v>0</v>
      </c>
      <c r="I472" s="4">
        <v>0</v>
      </c>
    </row>
    <row r="473" spans="1:9" x14ac:dyDescent="0.2">
      <c r="A473" s="2">
        <v>20</v>
      </c>
      <c r="B473" s="1" t="s">
        <v>85</v>
      </c>
      <c r="C473" s="4">
        <v>2</v>
      </c>
      <c r="D473" s="8">
        <v>0.89</v>
      </c>
      <c r="E473" s="4">
        <v>2</v>
      </c>
      <c r="F473" s="8">
        <v>1.38</v>
      </c>
      <c r="G473" s="4">
        <v>0</v>
      </c>
      <c r="H473" s="8">
        <v>0</v>
      </c>
      <c r="I473" s="4">
        <v>0</v>
      </c>
    </row>
    <row r="474" spans="1:9" x14ac:dyDescent="0.2">
      <c r="A474" s="2">
        <v>20</v>
      </c>
      <c r="B474" s="1" t="s">
        <v>106</v>
      </c>
      <c r="C474" s="4">
        <v>2</v>
      </c>
      <c r="D474" s="8">
        <v>0.89</v>
      </c>
      <c r="E474" s="4">
        <v>1</v>
      </c>
      <c r="F474" s="8">
        <v>0.69</v>
      </c>
      <c r="G474" s="4">
        <v>1</v>
      </c>
      <c r="H474" s="8">
        <v>1.32</v>
      </c>
      <c r="I474" s="4">
        <v>0</v>
      </c>
    </row>
    <row r="475" spans="1:9" x14ac:dyDescent="0.2">
      <c r="A475" s="2">
        <v>20</v>
      </c>
      <c r="B475" s="1" t="s">
        <v>97</v>
      </c>
      <c r="C475" s="4">
        <v>2</v>
      </c>
      <c r="D475" s="8">
        <v>0.89</v>
      </c>
      <c r="E475" s="4">
        <v>2</v>
      </c>
      <c r="F475" s="8">
        <v>1.38</v>
      </c>
      <c r="G475" s="4">
        <v>0</v>
      </c>
      <c r="H475" s="8">
        <v>0</v>
      </c>
      <c r="I475" s="4">
        <v>0</v>
      </c>
    </row>
    <row r="476" spans="1:9" x14ac:dyDescent="0.2">
      <c r="A476" s="2">
        <v>20</v>
      </c>
      <c r="B476" s="1" t="s">
        <v>92</v>
      </c>
      <c r="C476" s="4">
        <v>2</v>
      </c>
      <c r="D476" s="8">
        <v>0.89</v>
      </c>
      <c r="E476" s="4">
        <v>0</v>
      </c>
      <c r="F476" s="8">
        <v>0</v>
      </c>
      <c r="G476" s="4">
        <v>2</v>
      </c>
      <c r="H476" s="8">
        <v>2.63</v>
      </c>
      <c r="I476" s="4">
        <v>0</v>
      </c>
    </row>
    <row r="477" spans="1:9" x14ac:dyDescent="0.2">
      <c r="A477" s="1"/>
      <c r="C477" s="4"/>
      <c r="D477" s="8"/>
      <c r="E477" s="4"/>
      <c r="F477" s="8"/>
      <c r="G477" s="4"/>
      <c r="H477" s="8"/>
      <c r="I477" s="4"/>
    </row>
    <row r="478" spans="1:9" x14ac:dyDescent="0.2">
      <c r="A478" s="1" t="s">
        <v>21</v>
      </c>
      <c r="C478" s="4"/>
      <c r="D478" s="8"/>
      <c r="E478" s="4"/>
      <c r="F478" s="8"/>
      <c r="G478" s="4"/>
      <c r="H478" s="8"/>
      <c r="I478" s="4"/>
    </row>
    <row r="479" spans="1:9" x14ac:dyDescent="0.2">
      <c r="A479" s="2">
        <v>1</v>
      </c>
      <c r="B479" s="1" t="s">
        <v>74</v>
      </c>
      <c r="C479" s="4">
        <v>13</v>
      </c>
      <c r="D479" s="8">
        <v>13</v>
      </c>
      <c r="E479" s="4">
        <v>5</v>
      </c>
      <c r="F479" s="8">
        <v>8.93</v>
      </c>
      <c r="G479" s="4">
        <v>8</v>
      </c>
      <c r="H479" s="8">
        <v>19.05</v>
      </c>
      <c r="I479" s="4">
        <v>0</v>
      </c>
    </row>
    <row r="480" spans="1:9" x14ac:dyDescent="0.2">
      <c r="A480" s="2">
        <v>2</v>
      </c>
      <c r="B480" s="1" t="s">
        <v>89</v>
      </c>
      <c r="C480" s="4">
        <v>12</v>
      </c>
      <c r="D480" s="8">
        <v>12</v>
      </c>
      <c r="E480" s="4">
        <v>12</v>
      </c>
      <c r="F480" s="8">
        <v>21.43</v>
      </c>
      <c r="G480" s="4">
        <v>0</v>
      </c>
      <c r="H480" s="8">
        <v>0</v>
      </c>
      <c r="I480" s="4">
        <v>0</v>
      </c>
    </row>
    <row r="481" spans="1:9" x14ac:dyDescent="0.2">
      <c r="A481" s="2">
        <v>3</v>
      </c>
      <c r="B481" s="1" t="s">
        <v>83</v>
      </c>
      <c r="C481" s="4">
        <v>11</v>
      </c>
      <c r="D481" s="8">
        <v>11</v>
      </c>
      <c r="E481" s="4">
        <v>5</v>
      </c>
      <c r="F481" s="8">
        <v>8.93</v>
      </c>
      <c r="G481" s="4">
        <v>6</v>
      </c>
      <c r="H481" s="8">
        <v>14.29</v>
      </c>
      <c r="I481" s="4">
        <v>0</v>
      </c>
    </row>
    <row r="482" spans="1:9" x14ac:dyDescent="0.2">
      <c r="A482" s="2">
        <v>4</v>
      </c>
      <c r="B482" s="1" t="s">
        <v>81</v>
      </c>
      <c r="C482" s="4">
        <v>10</v>
      </c>
      <c r="D482" s="8">
        <v>10</v>
      </c>
      <c r="E482" s="4">
        <v>7</v>
      </c>
      <c r="F482" s="8">
        <v>12.5</v>
      </c>
      <c r="G482" s="4">
        <v>3</v>
      </c>
      <c r="H482" s="8">
        <v>7.14</v>
      </c>
      <c r="I482" s="4">
        <v>0</v>
      </c>
    </row>
    <row r="483" spans="1:9" x14ac:dyDescent="0.2">
      <c r="A483" s="2">
        <v>5</v>
      </c>
      <c r="B483" s="1" t="s">
        <v>91</v>
      </c>
      <c r="C483" s="4">
        <v>8</v>
      </c>
      <c r="D483" s="8">
        <v>8</v>
      </c>
      <c r="E483" s="4">
        <v>8</v>
      </c>
      <c r="F483" s="8">
        <v>14.29</v>
      </c>
      <c r="G483" s="4">
        <v>0</v>
      </c>
      <c r="H483" s="8">
        <v>0</v>
      </c>
      <c r="I483" s="4">
        <v>0</v>
      </c>
    </row>
    <row r="484" spans="1:9" x14ac:dyDescent="0.2">
      <c r="A484" s="2">
        <v>6</v>
      </c>
      <c r="B484" s="1" t="s">
        <v>93</v>
      </c>
      <c r="C484" s="4">
        <v>5</v>
      </c>
      <c r="D484" s="8">
        <v>5</v>
      </c>
      <c r="E484" s="4">
        <v>2</v>
      </c>
      <c r="F484" s="8">
        <v>3.57</v>
      </c>
      <c r="G484" s="4">
        <v>3</v>
      </c>
      <c r="H484" s="8">
        <v>7.14</v>
      </c>
      <c r="I484" s="4">
        <v>0</v>
      </c>
    </row>
    <row r="485" spans="1:9" x14ac:dyDescent="0.2">
      <c r="A485" s="2">
        <v>7</v>
      </c>
      <c r="B485" s="1" t="s">
        <v>75</v>
      </c>
      <c r="C485" s="4">
        <v>4</v>
      </c>
      <c r="D485" s="8">
        <v>4</v>
      </c>
      <c r="E485" s="4">
        <v>0</v>
      </c>
      <c r="F485" s="8">
        <v>0</v>
      </c>
      <c r="G485" s="4">
        <v>4</v>
      </c>
      <c r="H485" s="8">
        <v>9.52</v>
      </c>
      <c r="I485" s="4">
        <v>0</v>
      </c>
    </row>
    <row r="486" spans="1:9" x14ac:dyDescent="0.2">
      <c r="A486" s="2">
        <v>7</v>
      </c>
      <c r="B486" s="1" t="s">
        <v>85</v>
      </c>
      <c r="C486" s="4">
        <v>4</v>
      </c>
      <c r="D486" s="8">
        <v>4</v>
      </c>
      <c r="E486" s="4">
        <v>3</v>
      </c>
      <c r="F486" s="8">
        <v>5.36</v>
      </c>
      <c r="G486" s="4">
        <v>1</v>
      </c>
      <c r="H486" s="8">
        <v>2.38</v>
      </c>
      <c r="I486" s="4">
        <v>0</v>
      </c>
    </row>
    <row r="487" spans="1:9" x14ac:dyDescent="0.2">
      <c r="A487" s="2">
        <v>7</v>
      </c>
      <c r="B487" s="1" t="s">
        <v>88</v>
      </c>
      <c r="C487" s="4">
        <v>4</v>
      </c>
      <c r="D487" s="8">
        <v>4</v>
      </c>
      <c r="E487" s="4">
        <v>4</v>
      </c>
      <c r="F487" s="8">
        <v>7.14</v>
      </c>
      <c r="G487" s="4">
        <v>0</v>
      </c>
      <c r="H487" s="8">
        <v>0</v>
      </c>
      <c r="I487" s="4">
        <v>0</v>
      </c>
    </row>
    <row r="488" spans="1:9" x14ac:dyDescent="0.2">
      <c r="A488" s="2">
        <v>10</v>
      </c>
      <c r="B488" s="1" t="s">
        <v>82</v>
      </c>
      <c r="C488" s="4">
        <v>3</v>
      </c>
      <c r="D488" s="8">
        <v>3</v>
      </c>
      <c r="E488" s="4">
        <v>1</v>
      </c>
      <c r="F488" s="8">
        <v>1.79</v>
      </c>
      <c r="G488" s="4">
        <v>2</v>
      </c>
      <c r="H488" s="8">
        <v>4.76</v>
      </c>
      <c r="I488" s="4">
        <v>0</v>
      </c>
    </row>
    <row r="489" spans="1:9" x14ac:dyDescent="0.2">
      <c r="A489" s="2">
        <v>11</v>
      </c>
      <c r="B489" s="1" t="s">
        <v>76</v>
      </c>
      <c r="C489" s="4">
        <v>2</v>
      </c>
      <c r="D489" s="8">
        <v>2</v>
      </c>
      <c r="E489" s="4">
        <v>2</v>
      </c>
      <c r="F489" s="8">
        <v>3.57</v>
      </c>
      <c r="G489" s="4">
        <v>0</v>
      </c>
      <c r="H489" s="8">
        <v>0</v>
      </c>
      <c r="I489" s="4">
        <v>0</v>
      </c>
    </row>
    <row r="490" spans="1:9" x14ac:dyDescent="0.2">
      <c r="A490" s="2">
        <v>11</v>
      </c>
      <c r="B490" s="1" t="s">
        <v>77</v>
      </c>
      <c r="C490" s="4">
        <v>2</v>
      </c>
      <c r="D490" s="8">
        <v>2</v>
      </c>
      <c r="E490" s="4">
        <v>1</v>
      </c>
      <c r="F490" s="8">
        <v>1.79</v>
      </c>
      <c r="G490" s="4">
        <v>1</v>
      </c>
      <c r="H490" s="8">
        <v>2.38</v>
      </c>
      <c r="I490" s="4">
        <v>0</v>
      </c>
    </row>
    <row r="491" spans="1:9" x14ac:dyDescent="0.2">
      <c r="A491" s="2">
        <v>11</v>
      </c>
      <c r="B491" s="1" t="s">
        <v>78</v>
      </c>
      <c r="C491" s="4">
        <v>2</v>
      </c>
      <c r="D491" s="8">
        <v>2</v>
      </c>
      <c r="E491" s="4">
        <v>0</v>
      </c>
      <c r="F491" s="8">
        <v>0</v>
      </c>
      <c r="G491" s="4">
        <v>2</v>
      </c>
      <c r="H491" s="8">
        <v>4.76</v>
      </c>
      <c r="I491" s="4">
        <v>0</v>
      </c>
    </row>
    <row r="492" spans="1:9" x14ac:dyDescent="0.2">
      <c r="A492" s="2">
        <v>11</v>
      </c>
      <c r="B492" s="1" t="s">
        <v>98</v>
      </c>
      <c r="C492" s="4">
        <v>2</v>
      </c>
      <c r="D492" s="8">
        <v>2</v>
      </c>
      <c r="E492" s="4">
        <v>1</v>
      </c>
      <c r="F492" s="8">
        <v>1.79</v>
      </c>
      <c r="G492" s="4">
        <v>1</v>
      </c>
      <c r="H492" s="8">
        <v>2.38</v>
      </c>
      <c r="I492" s="4">
        <v>0</v>
      </c>
    </row>
    <row r="493" spans="1:9" x14ac:dyDescent="0.2">
      <c r="A493" s="2">
        <v>11</v>
      </c>
      <c r="B493" s="1" t="s">
        <v>86</v>
      </c>
      <c r="C493" s="4">
        <v>2</v>
      </c>
      <c r="D493" s="8">
        <v>2</v>
      </c>
      <c r="E493" s="4">
        <v>2</v>
      </c>
      <c r="F493" s="8">
        <v>3.57</v>
      </c>
      <c r="G493" s="4">
        <v>0</v>
      </c>
      <c r="H493" s="8">
        <v>0</v>
      </c>
      <c r="I493" s="4">
        <v>0</v>
      </c>
    </row>
    <row r="494" spans="1:9" x14ac:dyDescent="0.2">
      <c r="A494" s="2">
        <v>11</v>
      </c>
      <c r="B494" s="1" t="s">
        <v>90</v>
      </c>
      <c r="C494" s="4">
        <v>2</v>
      </c>
      <c r="D494" s="8">
        <v>2</v>
      </c>
      <c r="E494" s="4">
        <v>2</v>
      </c>
      <c r="F494" s="8">
        <v>3.57</v>
      </c>
      <c r="G494" s="4">
        <v>0</v>
      </c>
      <c r="H494" s="8">
        <v>0</v>
      </c>
      <c r="I494" s="4">
        <v>0</v>
      </c>
    </row>
    <row r="495" spans="1:9" x14ac:dyDescent="0.2">
      <c r="A495" s="2">
        <v>11</v>
      </c>
      <c r="B495" s="1" t="s">
        <v>95</v>
      </c>
      <c r="C495" s="4">
        <v>2</v>
      </c>
      <c r="D495" s="8">
        <v>2</v>
      </c>
      <c r="E495" s="4">
        <v>0</v>
      </c>
      <c r="F495" s="8">
        <v>0</v>
      </c>
      <c r="G495" s="4">
        <v>1</v>
      </c>
      <c r="H495" s="8">
        <v>2.38</v>
      </c>
      <c r="I495" s="4">
        <v>0</v>
      </c>
    </row>
    <row r="496" spans="1:9" x14ac:dyDescent="0.2">
      <c r="A496" s="2">
        <v>18</v>
      </c>
      <c r="B496" s="1" t="s">
        <v>115</v>
      </c>
      <c r="C496" s="4">
        <v>1</v>
      </c>
      <c r="D496" s="8">
        <v>1</v>
      </c>
      <c r="E496" s="4">
        <v>0</v>
      </c>
      <c r="F496" s="8">
        <v>0</v>
      </c>
      <c r="G496" s="4">
        <v>1</v>
      </c>
      <c r="H496" s="8">
        <v>2.38</v>
      </c>
      <c r="I496" s="4">
        <v>0</v>
      </c>
    </row>
    <row r="497" spans="1:9" x14ac:dyDescent="0.2">
      <c r="A497" s="2">
        <v>18</v>
      </c>
      <c r="B497" s="1" t="s">
        <v>111</v>
      </c>
      <c r="C497" s="4">
        <v>1</v>
      </c>
      <c r="D497" s="8">
        <v>1</v>
      </c>
      <c r="E497" s="4">
        <v>0</v>
      </c>
      <c r="F497" s="8">
        <v>0</v>
      </c>
      <c r="G497" s="4">
        <v>1</v>
      </c>
      <c r="H497" s="8">
        <v>2.38</v>
      </c>
      <c r="I497" s="4">
        <v>0</v>
      </c>
    </row>
    <row r="498" spans="1:9" x14ac:dyDescent="0.2">
      <c r="A498" s="2">
        <v>18</v>
      </c>
      <c r="B498" s="1" t="s">
        <v>102</v>
      </c>
      <c r="C498" s="4">
        <v>1</v>
      </c>
      <c r="D498" s="8">
        <v>1</v>
      </c>
      <c r="E498" s="4">
        <v>0</v>
      </c>
      <c r="F498" s="8">
        <v>0</v>
      </c>
      <c r="G498" s="4">
        <v>1</v>
      </c>
      <c r="H498" s="8">
        <v>2.38</v>
      </c>
      <c r="I498" s="4">
        <v>0</v>
      </c>
    </row>
    <row r="499" spans="1:9" x14ac:dyDescent="0.2">
      <c r="A499" s="2">
        <v>18</v>
      </c>
      <c r="B499" s="1" t="s">
        <v>112</v>
      </c>
      <c r="C499" s="4">
        <v>1</v>
      </c>
      <c r="D499" s="8">
        <v>1</v>
      </c>
      <c r="E499" s="4">
        <v>0</v>
      </c>
      <c r="F499" s="8">
        <v>0</v>
      </c>
      <c r="G499" s="4">
        <v>1</v>
      </c>
      <c r="H499" s="8">
        <v>2.38</v>
      </c>
      <c r="I499" s="4">
        <v>0</v>
      </c>
    </row>
    <row r="500" spans="1:9" x14ac:dyDescent="0.2">
      <c r="A500" s="2">
        <v>18</v>
      </c>
      <c r="B500" s="1" t="s">
        <v>113</v>
      </c>
      <c r="C500" s="4">
        <v>1</v>
      </c>
      <c r="D500" s="8">
        <v>1</v>
      </c>
      <c r="E500" s="4">
        <v>0</v>
      </c>
      <c r="F500" s="8">
        <v>0</v>
      </c>
      <c r="G500" s="4">
        <v>0</v>
      </c>
      <c r="H500" s="8">
        <v>0</v>
      </c>
      <c r="I500" s="4">
        <v>0</v>
      </c>
    </row>
    <row r="501" spans="1:9" x14ac:dyDescent="0.2">
      <c r="A501" s="2">
        <v>18</v>
      </c>
      <c r="B501" s="1" t="s">
        <v>116</v>
      </c>
      <c r="C501" s="4">
        <v>1</v>
      </c>
      <c r="D501" s="8">
        <v>1</v>
      </c>
      <c r="E501" s="4">
        <v>0</v>
      </c>
      <c r="F501" s="8">
        <v>0</v>
      </c>
      <c r="G501" s="4">
        <v>1</v>
      </c>
      <c r="H501" s="8">
        <v>2.38</v>
      </c>
      <c r="I501" s="4">
        <v>0</v>
      </c>
    </row>
    <row r="502" spans="1:9" x14ac:dyDescent="0.2">
      <c r="A502" s="2">
        <v>18</v>
      </c>
      <c r="B502" s="1" t="s">
        <v>114</v>
      </c>
      <c r="C502" s="4">
        <v>1</v>
      </c>
      <c r="D502" s="8">
        <v>1</v>
      </c>
      <c r="E502" s="4">
        <v>0</v>
      </c>
      <c r="F502" s="8">
        <v>0</v>
      </c>
      <c r="G502" s="4">
        <v>1</v>
      </c>
      <c r="H502" s="8">
        <v>2.38</v>
      </c>
      <c r="I502" s="4">
        <v>0</v>
      </c>
    </row>
    <row r="503" spans="1:9" x14ac:dyDescent="0.2">
      <c r="A503" s="2">
        <v>18</v>
      </c>
      <c r="B503" s="1" t="s">
        <v>94</v>
      </c>
      <c r="C503" s="4">
        <v>1</v>
      </c>
      <c r="D503" s="8">
        <v>1</v>
      </c>
      <c r="E503" s="4">
        <v>1</v>
      </c>
      <c r="F503" s="8">
        <v>1.79</v>
      </c>
      <c r="G503" s="4">
        <v>0</v>
      </c>
      <c r="H503" s="8">
        <v>0</v>
      </c>
      <c r="I503" s="4">
        <v>0</v>
      </c>
    </row>
    <row r="504" spans="1:9" x14ac:dyDescent="0.2">
      <c r="A504" s="2">
        <v>18</v>
      </c>
      <c r="B504" s="1" t="s">
        <v>84</v>
      </c>
      <c r="C504" s="4">
        <v>1</v>
      </c>
      <c r="D504" s="8">
        <v>1</v>
      </c>
      <c r="E504" s="4">
        <v>0</v>
      </c>
      <c r="F504" s="8">
        <v>0</v>
      </c>
      <c r="G504" s="4">
        <v>1</v>
      </c>
      <c r="H504" s="8">
        <v>2.38</v>
      </c>
      <c r="I504" s="4">
        <v>0</v>
      </c>
    </row>
    <row r="505" spans="1:9" x14ac:dyDescent="0.2">
      <c r="A505" s="2">
        <v>18</v>
      </c>
      <c r="B505" s="1" t="s">
        <v>117</v>
      </c>
      <c r="C505" s="4">
        <v>1</v>
      </c>
      <c r="D505" s="8">
        <v>1</v>
      </c>
      <c r="E505" s="4">
        <v>0</v>
      </c>
      <c r="F505" s="8">
        <v>0</v>
      </c>
      <c r="G505" s="4">
        <v>1</v>
      </c>
      <c r="H505" s="8">
        <v>2.38</v>
      </c>
      <c r="I505" s="4">
        <v>0</v>
      </c>
    </row>
    <row r="506" spans="1:9" x14ac:dyDescent="0.2">
      <c r="A506" s="2">
        <v>18</v>
      </c>
      <c r="B506" s="1" t="s">
        <v>87</v>
      </c>
      <c r="C506" s="4">
        <v>1</v>
      </c>
      <c r="D506" s="8">
        <v>1</v>
      </c>
      <c r="E506" s="4">
        <v>0</v>
      </c>
      <c r="F506" s="8">
        <v>0</v>
      </c>
      <c r="G506" s="4">
        <v>1</v>
      </c>
      <c r="H506" s="8">
        <v>2.38</v>
      </c>
      <c r="I506" s="4">
        <v>0</v>
      </c>
    </row>
    <row r="507" spans="1:9" x14ac:dyDescent="0.2">
      <c r="A507" s="2">
        <v>18</v>
      </c>
      <c r="B507" s="1" t="s">
        <v>118</v>
      </c>
      <c r="C507" s="4">
        <v>1</v>
      </c>
      <c r="D507" s="8">
        <v>1</v>
      </c>
      <c r="E507" s="4">
        <v>0</v>
      </c>
      <c r="F507" s="8">
        <v>0</v>
      </c>
      <c r="G507" s="4">
        <v>1</v>
      </c>
      <c r="H507" s="8">
        <v>2.38</v>
      </c>
      <c r="I507" s="4">
        <v>0</v>
      </c>
    </row>
    <row r="508" spans="1:9" x14ac:dyDescent="0.2">
      <c r="A508" s="1"/>
      <c r="C508" s="4"/>
      <c r="D508" s="8"/>
      <c r="E508" s="4"/>
      <c r="F508" s="8"/>
      <c r="G508" s="4"/>
      <c r="H508" s="8"/>
      <c r="I508" s="4"/>
    </row>
    <row r="509" spans="1:9" x14ac:dyDescent="0.2">
      <c r="A509" s="1" t="s">
        <v>22</v>
      </c>
      <c r="C509" s="4"/>
      <c r="D509" s="8"/>
      <c r="E509" s="4"/>
      <c r="F509" s="8"/>
      <c r="G509" s="4"/>
      <c r="H509" s="8"/>
      <c r="I509" s="4"/>
    </row>
    <row r="510" spans="1:9" x14ac:dyDescent="0.2">
      <c r="A510" s="2">
        <v>1</v>
      </c>
      <c r="B510" s="1" t="s">
        <v>83</v>
      </c>
      <c r="C510" s="4">
        <v>26</v>
      </c>
      <c r="D510" s="8">
        <v>11.06</v>
      </c>
      <c r="E510" s="4">
        <v>15</v>
      </c>
      <c r="F510" s="8">
        <v>10.95</v>
      </c>
      <c r="G510" s="4">
        <v>11</v>
      </c>
      <c r="H510" s="8">
        <v>11.83</v>
      </c>
      <c r="I510" s="4">
        <v>0</v>
      </c>
    </row>
    <row r="511" spans="1:9" x14ac:dyDescent="0.2">
      <c r="A511" s="2">
        <v>2</v>
      </c>
      <c r="B511" s="1" t="s">
        <v>74</v>
      </c>
      <c r="C511" s="4">
        <v>21</v>
      </c>
      <c r="D511" s="8">
        <v>8.94</v>
      </c>
      <c r="E511" s="4">
        <v>7</v>
      </c>
      <c r="F511" s="8">
        <v>5.1100000000000003</v>
      </c>
      <c r="G511" s="4">
        <v>14</v>
      </c>
      <c r="H511" s="8">
        <v>15.05</v>
      </c>
      <c r="I511" s="4">
        <v>0</v>
      </c>
    </row>
    <row r="512" spans="1:9" x14ac:dyDescent="0.2">
      <c r="A512" s="2">
        <v>2</v>
      </c>
      <c r="B512" s="1" t="s">
        <v>81</v>
      </c>
      <c r="C512" s="4">
        <v>21</v>
      </c>
      <c r="D512" s="8">
        <v>8.94</v>
      </c>
      <c r="E512" s="4">
        <v>15</v>
      </c>
      <c r="F512" s="8">
        <v>10.95</v>
      </c>
      <c r="G512" s="4">
        <v>5</v>
      </c>
      <c r="H512" s="8">
        <v>5.38</v>
      </c>
      <c r="I512" s="4">
        <v>1</v>
      </c>
    </row>
    <row r="513" spans="1:9" x14ac:dyDescent="0.2">
      <c r="A513" s="2">
        <v>4</v>
      </c>
      <c r="B513" s="1" t="s">
        <v>75</v>
      </c>
      <c r="C513" s="4">
        <v>16</v>
      </c>
      <c r="D513" s="8">
        <v>6.81</v>
      </c>
      <c r="E513" s="4">
        <v>13</v>
      </c>
      <c r="F513" s="8">
        <v>9.49</v>
      </c>
      <c r="G513" s="4">
        <v>3</v>
      </c>
      <c r="H513" s="8">
        <v>3.23</v>
      </c>
      <c r="I513" s="4">
        <v>0</v>
      </c>
    </row>
    <row r="514" spans="1:9" x14ac:dyDescent="0.2">
      <c r="A514" s="2">
        <v>5</v>
      </c>
      <c r="B514" s="1" t="s">
        <v>89</v>
      </c>
      <c r="C514" s="4">
        <v>15</v>
      </c>
      <c r="D514" s="8">
        <v>6.38</v>
      </c>
      <c r="E514" s="4">
        <v>14</v>
      </c>
      <c r="F514" s="8">
        <v>10.220000000000001</v>
      </c>
      <c r="G514" s="4">
        <v>1</v>
      </c>
      <c r="H514" s="8">
        <v>1.08</v>
      </c>
      <c r="I514" s="4">
        <v>0</v>
      </c>
    </row>
    <row r="515" spans="1:9" x14ac:dyDescent="0.2">
      <c r="A515" s="2">
        <v>6</v>
      </c>
      <c r="B515" s="1" t="s">
        <v>88</v>
      </c>
      <c r="C515" s="4">
        <v>12</v>
      </c>
      <c r="D515" s="8">
        <v>5.1100000000000003</v>
      </c>
      <c r="E515" s="4">
        <v>11</v>
      </c>
      <c r="F515" s="8">
        <v>8.0299999999999994</v>
      </c>
      <c r="G515" s="4">
        <v>1</v>
      </c>
      <c r="H515" s="8">
        <v>1.08</v>
      </c>
      <c r="I515" s="4">
        <v>0</v>
      </c>
    </row>
    <row r="516" spans="1:9" x14ac:dyDescent="0.2">
      <c r="A516" s="2">
        <v>7</v>
      </c>
      <c r="B516" s="1" t="s">
        <v>82</v>
      </c>
      <c r="C516" s="4">
        <v>11</v>
      </c>
      <c r="D516" s="8">
        <v>4.68</v>
      </c>
      <c r="E516" s="4">
        <v>11</v>
      </c>
      <c r="F516" s="8">
        <v>8.0299999999999994</v>
      </c>
      <c r="G516" s="4">
        <v>0</v>
      </c>
      <c r="H516" s="8">
        <v>0</v>
      </c>
      <c r="I516" s="4">
        <v>0</v>
      </c>
    </row>
    <row r="517" spans="1:9" x14ac:dyDescent="0.2">
      <c r="A517" s="2">
        <v>8</v>
      </c>
      <c r="B517" s="1" t="s">
        <v>91</v>
      </c>
      <c r="C517" s="4">
        <v>9</v>
      </c>
      <c r="D517" s="8">
        <v>3.83</v>
      </c>
      <c r="E517" s="4">
        <v>8</v>
      </c>
      <c r="F517" s="8">
        <v>5.84</v>
      </c>
      <c r="G517" s="4">
        <v>1</v>
      </c>
      <c r="H517" s="8">
        <v>1.08</v>
      </c>
      <c r="I517" s="4">
        <v>0</v>
      </c>
    </row>
    <row r="518" spans="1:9" x14ac:dyDescent="0.2">
      <c r="A518" s="2">
        <v>9</v>
      </c>
      <c r="B518" s="1" t="s">
        <v>77</v>
      </c>
      <c r="C518" s="4">
        <v>8</v>
      </c>
      <c r="D518" s="8">
        <v>3.4</v>
      </c>
      <c r="E518" s="4">
        <v>7</v>
      </c>
      <c r="F518" s="8">
        <v>5.1100000000000003</v>
      </c>
      <c r="G518" s="4">
        <v>1</v>
      </c>
      <c r="H518" s="8">
        <v>1.08</v>
      </c>
      <c r="I518" s="4">
        <v>0</v>
      </c>
    </row>
    <row r="519" spans="1:9" x14ac:dyDescent="0.2">
      <c r="A519" s="2">
        <v>10</v>
      </c>
      <c r="B519" s="1" t="s">
        <v>111</v>
      </c>
      <c r="C519" s="4">
        <v>7</v>
      </c>
      <c r="D519" s="8">
        <v>2.98</v>
      </c>
      <c r="E519" s="4">
        <v>3</v>
      </c>
      <c r="F519" s="8">
        <v>2.19</v>
      </c>
      <c r="G519" s="4">
        <v>4</v>
      </c>
      <c r="H519" s="8">
        <v>4.3</v>
      </c>
      <c r="I519" s="4">
        <v>0</v>
      </c>
    </row>
    <row r="520" spans="1:9" x14ac:dyDescent="0.2">
      <c r="A520" s="2">
        <v>11</v>
      </c>
      <c r="B520" s="1" t="s">
        <v>76</v>
      </c>
      <c r="C520" s="4">
        <v>6</v>
      </c>
      <c r="D520" s="8">
        <v>2.5499999999999998</v>
      </c>
      <c r="E520" s="4">
        <v>2</v>
      </c>
      <c r="F520" s="8">
        <v>1.46</v>
      </c>
      <c r="G520" s="4">
        <v>4</v>
      </c>
      <c r="H520" s="8">
        <v>4.3</v>
      </c>
      <c r="I520" s="4">
        <v>0</v>
      </c>
    </row>
    <row r="521" spans="1:9" x14ac:dyDescent="0.2">
      <c r="A521" s="2">
        <v>11</v>
      </c>
      <c r="B521" s="1" t="s">
        <v>119</v>
      </c>
      <c r="C521" s="4">
        <v>6</v>
      </c>
      <c r="D521" s="8">
        <v>2.5499999999999998</v>
      </c>
      <c r="E521" s="4">
        <v>0</v>
      </c>
      <c r="F521" s="8">
        <v>0</v>
      </c>
      <c r="G521" s="4">
        <v>6</v>
      </c>
      <c r="H521" s="8">
        <v>6.45</v>
      </c>
      <c r="I521" s="4">
        <v>0</v>
      </c>
    </row>
    <row r="522" spans="1:9" x14ac:dyDescent="0.2">
      <c r="A522" s="2">
        <v>11</v>
      </c>
      <c r="B522" s="1" t="s">
        <v>99</v>
      </c>
      <c r="C522" s="4">
        <v>6</v>
      </c>
      <c r="D522" s="8">
        <v>2.5499999999999998</v>
      </c>
      <c r="E522" s="4">
        <v>2</v>
      </c>
      <c r="F522" s="8">
        <v>1.46</v>
      </c>
      <c r="G522" s="4">
        <v>4</v>
      </c>
      <c r="H522" s="8">
        <v>4.3</v>
      </c>
      <c r="I522" s="4">
        <v>0</v>
      </c>
    </row>
    <row r="523" spans="1:9" x14ac:dyDescent="0.2">
      <c r="A523" s="2">
        <v>11</v>
      </c>
      <c r="B523" s="1" t="s">
        <v>93</v>
      </c>
      <c r="C523" s="4">
        <v>6</v>
      </c>
      <c r="D523" s="8">
        <v>2.5499999999999998</v>
      </c>
      <c r="E523" s="4">
        <v>5</v>
      </c>
      <c r="F523" s="8">
        <v>3.65</v>
      </c>
      <c r="G523" s="4">
        <v>1</v>
      </c>
      <c r="H523" s="8">
        <v>1.08</v>
      </c>
      <c r="I523" s="4">
        <v>0</v>
      </c>
    </row>
    <row r="524" spans="1:9" x14ac:dyDescent="0.2">
      <c r="A524" s="2">
        <v>15</v>
      </c>
      <c r="B524" s="1" t="s">
        <v>102</v>
      </c>
      <c r="C524" s="4">
        <v>5</v>
      </c>
      <c r="D524" s="8">
        <v>2.13</v>
      </c>
      <c r="E524" s="4">
        <v>3</v>
      </c>
      <c r="F524" s="8">
        <v>2.19</v>
      </c>
      <c r="G524" s="4">
        <v>2</v>
      </c>
      <c r="H524" s="8">
        <v>2.15</v>
      </c>
      <c r="I524" s="4">
        <v>0</v>
      </c>
    </row>
    <row r="525" spans="1:9" x14ac:dyDescent="0.2">
      <c r="A525" s="2">
        <v>15</v>
      </c>
      <c r="B525" s="1" t="s">
        <v>90</v>
      </c>
      <c r="C525" s="4">
        <v>5</v>
      </c>
      <c r="D525" s="8">
        <v>2.13</v>
      </c>
      <c r="E525" s="4">
        <v>4</v>
      </c>
      <c r="F525" s="8">
        <v>2.92</v>
      </c>
      <c r="G525" s="4">
        <v>0</v>
      </c>
      <c r="H525" s="8">
        <v>0</v>
      </c>
      <c r="I525" s="4">
        <v>0</v>
      </c>
    </row>
    <row r="526" spans="1:9" x14ac:dyDescent="0.2">
      <c r="A526" s="2">
        <v>17</v>
      </c>
      <c r="B526" s="1" t="s">
        <v>80</v>
      </c>
      <c r="C526" s="4">
        <v>4</v>
      </c>
      <c r="D526" s="8">
        <v>1.7</v>
      </c>
      <c r="E526" s="4">
        <v>2</v>
      </c>
      <c r="F526" s="8">
        <v>1.46</v>
      </c>
      <c r="G526" s="4">
        <v>2</v>
      </c>
      <c r="H526" s="8">
        <v>2.15</v>
      </c>
      <c r="I526" s="4">
        <v>0</v>
      </c>
    </row>
    <row r="527" spans="1:9" x14ac:dyDescent="0.2">
      <c r="A527" s="2">
        <v>17</v>
      </c>
      <c r="B527" s="1" t="s">
        <v>85</v>
      </c>
      <c r="C527" s="4">
        <v>4</v>
      </c>
      <c r="D527" s="8">
        <v>1.7</v>
      </c>
      <c r="E527" s="4">
        <v>3</v>
      </c>
      <c r="F527" s="8">
        <v>2.19</v>
      </c>
      <c r="G527" s="4">
        <v>1</v>
      </c>
      <c r="H527" s="8">
        <v>1.08</v>
      </c>
      <c r="I527" s="4">
        <v>0</v>
      </c>
    </row>
    <row r="528" spans="1:9" x14ac:dyDescent="0.2">
      <c r="A528" s="2">
        <v>17</v>
      </c>
      <c r="B528" s="1" t="s">
        <v>97</v>
      </c>
      <c r="C528" s="4">
        <v>4</v>
      </c>
      <c r="D528" s="8">
        <v>1.7</v>
      </c>
      <c r="E528" s="4">
        <v>2</v>
      </c>
      <c r="F528" s="8">
        <v>1.46</v>
      </c>
      <c r="G528" s="4">
        <v>2</v>
      </c>
      <c r="H528" s="8">
        <v>2.15</v>
      </c>
      <c r="I528" s="4">
        <v>0</v>
      </c>
    </row>
    <row r="529" spans="1:9" x14ac:dyDescent="0.2">
      <c r="A529" s="2">
        <v>20</v>
      </c>
      <c r="B529" s="1" t="s">
        <v>109</v>
      </c>
      <c r="C529" s="4">
        <v>3</v>
      </c>
      <c r="D529" s="8">
        <v>1.28</v>
      </c>
      <c r="E529" s="4">
        <v>0</v>
      </c>
      <c r="F529" s="8">
        <v>0</v>
      </c>
      <c r="G529" s="4">
        <v>3</v>
      </c>
      <c r="H529" s="8">
        <v>3.23</v>
      </c>
      <c r="I529" s="4">
        <v>0</v>
      </c>
    </row>
    <row r="530" spans="1:9" x14ac:dyDescent="0.2">
      <c r="A530" s="2">
        <v>20</v>
      </c>
      <c r="B530" s="1" t="s">
        <v>112</v>
      </c>
      <c r="C530" s="4">
        <v>3</v>
      </c>
      <c r="D530" s="8">
        <v>1.28</v>
      </c>
      <c r="E530" s="4">
        <v>0</v>
      </c>
      <c r="F530" s="8">
        <v>0</v>
      </c>
      <c r="G530" s="4">
        <v>3</v>
      </c>
      <c r="H530" s="8">
        <v>3.23</v>
      </c>
      <c r="I530" s="4">
        <v>0</v>
      </c>
    </row>
    <row r="531" spans="1:9" x14ac:dyDescent="0.2">
      <c r="A531" s="2">
        <v>20</v>
      </c>
      <c r="B531" s="1" t="s">
        <v>94</v>
      </c>
      <c r="C531" s="4">
        <v>3</v>
      </c>
      <c r="D531" s="8">
        <v>1.28</v>
      </c>
      <c r="E531" s="4">
        <v>0</v>
      </c>
      <c r="F531" s="8">
        <v>0</v>
      </c>
      <c r="G531" s="4">
        <v>3</v>
      </c>
      <c r="H531" s="8">
        <v>3.23</v>
      </c>
      <c r="I531" s="4">
        <v>0</v>
      </c>
    </row>
    <row r="532" spans="1:9" x14ac:dyDescent="0.2">
      <c r="A532" s="2">
        <v>20</v>
      </c>
      <c r="B532" s="1" t="s">
        <v>87</v>
      </c>
      <c r="C532" s="4">
        <v>3</v>
      </c>
      <c r="D532" s="8">
        <v>1.28</v>
      </c>
      <c r="E532" s="4">
        <v>1</v>
      </c>
      <c r="F532" s="8">
        <v>0.73</v>
      </c>
      <c r="G532" s="4">
        <v>2</v>
      </c>
      <c r="H532" s="8">
        <v>2.15</v>
      </c>
      <c r="I532" s="4">
        <v>0</v>
      </c>
    </row>
    <row r="533" spans="1:9" x14ac:dyDescent="0.2">
      <c r="A533" s="2">
        <v>20</v>
      </c>
      <c r="B533" s="1" t="s">
        <v>120</v>
      </c>
      <c r="C533" s="4">
        <v>3</v>
      </c>
      <c r="D533" s="8">
        <v>1.28</v>
      </c>
      <c r="E533" s="4">
        <v>0</v>
      </c>
      <c r="F533" s="8">
        <v>0</v>
      </c>
      <c r="G533" s="4">
        <v>2</v>
      </c>
      <c r="H533" s="8">
        <v>2.15</v>
      </c>
      <c r="I533" s="4">
        <v>1</v>
      </c>
    </row>
    <row r="534" spans="1:9" x14ac:dyDescent="0.2">
      <c r="A534" s="1"/>
      <c r="C534" s="4"/>
      <c r="D534" s="8"/>
      <c r="E534" s="4"/>
      <c r="F534" s="8"/>
      <c r="G534" s="4"/>
      <c r="H534" s="8"/>
      <c r="I534" s="4"/>
    </row>
    <row r="535" spans="1:9" x14ac:dyDescent="0.2">
      <c r="A535" s="1" t="s">
        <v>23</v>
      </c>
      <c r="C535" s="4"/>
      <c r="D535" s="8"/>
      <c r="E535" s="4"/>
      <c r="F535" s="8"/>
      <c r="G535" s="4"/>
      <c r="H535" s="8"/>
      <c r="I535" s="4"/>
    </row>
    <row r="536" spans="1:9" x14ac:dyDescent="0.2">
      <c r="A536" s="2">
        <v>1</v>
      </c>
      <c r="B536" s="1" t="s">
        <v>89</v>
      </c>
      <c r="C536" s="4">
        <v>32</v>
      </c>
      <c r="D536" s="8">
        <v>11.03</v>
      </c>
      <c r="E536" s="4">
        <v>30</v>
      </c>
      <c r="F536" s="8">
        <v>18.07</v>
      </c>
      <c r="G536" s="4">
        <v>2</v>
      </c>
      <c r="H536" s="8">
        <v>1.68</v>
      </c>
      <c r="I536" s="4">
        <v>0</v>
      </c>
    </row>
    <row r="537" spans="1:9" x14ac:dyDescent="0.2">
      <c r="A537" s="2">
        <v>2</v>
      </c>
      <c r="B537" s="1" t="s">
        <v>83</v>
      </c>
      <c r="C537" s="4">
        <v>22</v>
      </c>
      <c r="D537" s="8">
        <v>7.59</v>
      </c>
      <c r="E537" s="4">
        <v>14</v>
      </c>
      <c r="F537" s="8">
        <v>8.43</v>
      </c>
      <c r="G537" s="4">
        <v>8</v>
      </c>
      <c r="H537" s="8">
        <v>6.72</v>
      </c>
      <c r="I537" s="4">
        <v>0</v>
      </c>
    </row>
    <row r="538" spans="1:9" x14ac:dyDescent="0.2">
      <c r="A538" s="2">
        <v>3</v>
      </c>
      <c r="B538" s="1" t="s">
        <v>74</v>
      </c>
      <c r="C538" s="4">
        <v>21</v>
      </c>
      <c r="D538" s="8">
        <v>7.24</v>
      </c>
      <c r="E538" s="4">
        <v>7</v>
      </c>
      <c r="F538" s="8">
        <v>4.22</v>
      </c>
      <c r="G538" s="4">
        <v>14</v>
      </c>
      <c r="H538" s="8">
        <v>11.76</v>
      </c>
      <c r="I538" s="4">
        <v>0</v>
      </c>
    </row>
    <row r="539" spans="1:9" x14ac:dyDescent="0.2">
      <c r="A539" s="2">
        <v>3</v>
      </c>
      <c r="B539" s="1" t="s">
        <v>81</v>
      </c>
      <c r="C539" s="4">
        <v>21</v>
      </c>
      <c r="D539" s="8">
        <v>7.24</v>
      </c>
      <c r="E539" s="4">
        <v>17</v>
      </c>
      <c r="F539" s="8">
        <v>10.24</v>
      </c>
      <c r="G539" s="4">
        <v>4</v>
      </c>
      <c r="H539" s="8">
        <v>3.36</v>
      </c>
      <c r="I539" s="4">
        <v>0</v>
      </c>
    </row>
    <row r="540" spans="1:9" x14ac:dyDescent="0.2">
      <c r="A540" s="2">
        <v>5</v>
      </c>
      <c r="B540" s="1" t="s">
        <v>76</v>
      </c>
      <c r="C540" s="4">
        <v>17</v>
      </c>
      <c r="D540" s="8">
        <v>5.86</v>
      </c>
      <c r="E540" s="4">
        <v>5</v>
      </c>
      <c r="F540" s="8">
        <v>3.01</v>
      </c>
      <c r="G540" s="4">
        <v>12</v>
      </c>
      <c r="H540" s="8">
        <v>10.08</v>
      </c>
      <c r="I540" s="4">
        <v>0</v>
      </c>
    </row>
    <row r="541" spans="1:9" x14ac:dyDescent="0.2">
      <c r="A541" s="2">
        <v>5</v>
      </c>
      <c r="B541" s="1" t="s">
        <v>88</v>
      </c>
      <c r="C541" s="4">
        <v>17</v>
      </c>
      <c r="D541" s="8">
        <v>5.86</v>
      </c>
      <c r="E541" s="4">
        <v>16</v>
      </c>
      <c r="F541" s="8">
        <v>9.64</v>
      </c>
      <c r="G541" s="4">
        <v>1</v>
      </c>
      <c r="H541" s="8">
        <v>0.84</v>
      </c>
      <c r="I541" s="4">
        <v>0</v>
      </c>
    </row>
    <row r="542" spans="1:9" x14ac:dyDescent="0.2">
      <c r="A542" s="2">
        <v>7</v>
      </c>
      <c r="B542" s="1" t="s">
        <v>75</v>
      </c>
      <c r="C542" s="4">
        <v>14</v>
      </c>
      <c r="D542" s="8">
        <v>4.83</v>
      </c>
      <c r="E542" s="4">
        <v>5</v>
      </c>
      <c r="F542" s="8">
        <v>3.01</v>
      </c>
      <c r="G542" s="4">
        <v>9</v>
      </c>
      <c r="H542" s="8">
        <v>7.56</v>
      </c>
      <c r="I542" s="4">
        <v>0</v>
      </c>
    </row>
    <row r="543" spans="1:9" x14ac:dyDescent="0.2">
      <c r="A543" s="2">
        <v>7</v>
      </c>
      <c r="B543" s="1" t="s">
        <v>82</v>
      </c>
      <c r="C543" s="4">
        <v>14</v>
      </c>
      <c r="D543" s="8">
        <v>4.83</v>
      </c>
      <c r="E543" s="4">
        <v>9</v>
      </c>
      <c r="F543" s="8">
        <v>5.42</v>
      </c>
      <c r="G543" s="4">
        <v>5</v>
      </c>
      <c r="H543" s="8">
        <v>4.2</v>
      </c>
      <c r="I543" s="4">
        <v>0</v>
      </c>
    </row>
    <row r="544" spans="1:9" x14ac:dyDescent="0.2">
      <c r="A544" s="2">
        <v>9</v>
      </c>
      <c r="B544" s="1" t="s">
        <v>85</v>
      </c>
      <c r="C544" s="4">
        <v>13</v>
      </c>
      <c r="D544" s="8">
        <v>4.4800000000000004</v>
      </c>
      <c r="E544" s="4">
        <v>11</v>
      </c>
      <c r="F544" s="8">
        <v>6.63</v>
      </c>
      <c r="G544" s="4">
        <v>2</v>
      </c>
      <c r="H544" s="8">
        <v>1.68</v>
      </c>
      <c r="I544" s="4">
        <v>0</v>
      </c>
    </row>
    <row r="545" spans="1:9" x14ac:dyDescent="0.2">
      <c r="A545" s="2">
        <v>10</v>
      </c>
      <c r="B545" s="1" t="s">
        <v>90</v>
      </c>
      <c r="C545" s="4">
        <v>10</v>
      </c>
      <c r="D545" s="8">
        <v>3.45</v>
      </c>
      <c r="E545" s="4">
        <v>7</v>
      </c>
      <c r="F545" s="8">
        <v>4.22</v>
      </c>
      <c r="G545" s="4">
        <v>2</v>
      </c>
      <c r="H545" s="8">
        <v>1.68</v>
      </c>
      <c r="I545" s="4">
        <v>0</v>
      </c>
    </row>
    <row r="546" spans="1:9" x14ac:dyDescent="0.2">
      <c r="A546" s="2">
        <v>11</v>
      </c>
      <c r="B546" s="1" t="s">
        <v>84</v>
      </c>
      <c r="C546" s="4">
        <v>8</v>
      </c>
      <c r="D546" s="8">
        <v>2.76</v>
      </c>
      <c r="E546" s="4">
        <v>5</v>
      </c>
      <c r="F546" s="8">
        <v>3.01</v>
      </c>
      <c r="G546" s="4">
        <v>3</v>
      </c>
      <c r="H546" s="8">
        <v>2.52</v>
      </c>
      <c r="I546" s="4">
        <v>0</v>
      </c>
    </row>
    <row r="547" spans="1:9" x14ac:dyDescent="0.2">
      <c r="A547" s="2">
        <v>12</v>
      </c>
      <c r="B547" s="1" t="s">
        <v>102</v>
      </c>
      <c r="C547" s="4">
        <v>7</v>
      </c>
      <c r="D547" s="8">
        <v>2.41</v>
      </c>
      <c r="E547" s="4">
        <v>1</v>
      </c>
      <c r="F547" s="8">
        <v>0.6</v>
      </c>
      <c r="G547" s="4">
        <v>6</v>
      </c>
      <c r="H547" s="8">
        <v>5.04</v>
      </c>
      <c r="I547" s="4">
        <v>0</v>
      </c>
    </row>
    <row r="548" spans="1:9" x14ac:dyDescent="0.2">
      <c r="A548" s="2">
        <v>12</v>
      </c>
      <c r="B548" s="1" t="s">
        <v>99</v>
      </c>
      <c r="C548" s="4">
        <v>7</v>
      </c>
      <c r="D548" s="8">
        <v>2.41</v>
      </c>
      <c r="E548" s="4">
        <v>1</v>
      </c>
      <c r="F548" s="8">
        <v>0.6</v>
      </c>
      <c r="G548" s="4">
        <v>6</v>
      </c>
      <c r="H548" s="8">
        <v>5.04</v>
      </c>
      <c r="I548" s="4">
        <v>0</v>
      </c>
    </row>
    <row r="549" spans="1:9" x14ac:dyDescent="0.2">
      <c r="A549" s="2">
        <v>12</v>
      </c>
      <c r="B549" s="1" t="s">
        <v>91</v>
      </c>
      <c r="C549" s="4">
        <v>7</v>
      </c>
      <c r="D549" s="8">
        <v>2.41</v>
      </c>
      <c r="E549" s="4">
        <v>7</v>
      </c>
      <c r="F549" s="8">
        <v>4.22</v>
      </c>
      <c r="G549" s="4">
        <v>0</v>
      </c>
      <c r="H549" s="8">
        <v>0</v>
      </c>
      <c r="I549" s="4">
        <v>0</v>
      </c>
    </row>
    <row r="550" spans="1:9" x14ac:dyDescent="0.2">
      <c r="A550" s="2">
        <v>15</v>
      </c>
      <c r="B550" s="1" t="s">
        <v>103</v>
      </c>
      <c r="C550" s="4">
        <v>5</v>
      </c>
      <c r="D550" s="8">
        <v>1.72</v>
      </c>
      <c r="E550" s="4">
        <v>2</v>
      </c>
      <c r="F550" s="8">
        <v>1.2</v>
      </c>
      <c r="G550" s="4">
        <v>3</v>
      </c>
      <c r="H550" s="8">
        <v>2.52</v>
      </c>
      <c r="I550" s="4">
        <v>0</v>
      </c>
    </row>
    <row r="551" spans="1:9" x14ac:dyDescent="0.2">
      <c r="A551" s="2">
        <v>15</v>
      </c>
      <c r="B551" s="1" t="s">
        <v>92</v>
      </c>
      <c r="C551" s="4">
        <v>5</v>
      </c>
      <c r="D551" s="8">
        <v>1.72</v>
      </c>
      <c r="E551" s="4">
        <v>0</v>
      </c>
      <c r="F551" s="8">
        <v>0</v>
      </c>
      <c r="G551" s="4">
        <v>1</v>
      </c>
      <c r="H551" s="8">
        <v>0.84</v>
      </c>
      <c r="I551" s="4">
        <v>0</v>
      </c>
    </row>
    <row r="552" spans="1:9" x14ac:dyDescent="0.2">
      <c r="A552" s="2">
        <v>17</v>
      </c>
      <c r="B552" s="1" t="s">
        <v>77</v>
      </c>
      <c r="C552" s="4">
        <v>4</v>
      </c>
      <c r="D552" s="8">
        <v>1.38</v>
      </c>
      <c r="E552" s="4">
        <v>1</v>
      </c>
      <c r="F552" s="8">
        <v>0.6</v>
      </c>
      <c r="G552" s="4">
        <v>3</v>
      </c>
      <c r="H552" s="8">
        <v>2.52</v>
      </c>
      <c r="I552" s="4">
        <v>0</v>
      </c>
    </row>
    <row r="553" spans="1:9" x14ac:dyDescent="0.2">
      <c r="A553" s="2">
        <v>17</v>
      </c>
      <c r="B553" s="1" t="s">
        <v>112</v>
      </c>
      <c r="C553" s="4">
        <v>4</v>
      </c>
      <c r="D553" s="8">
        <v>1.38</v>
      </c>
      <c r="E553" s="4">
        <v>0</v>
      </c>
      <c r="F553" s="8">
        <v>0</v>
      </c>
      <c r="G553" s="4">
        <v>4</v>
      </c>
      <c r="H553" s="8">
        <v>3.36</v>
      </c>
      <c r="I553" s="4">
        <v>0</v>
      </c>
    </row>
    <row r="554" spans="1:9" x14ac:dyDescent="0.2">
      <c r="A554" s="2">
        <v>17</v>
      </c>
      <c r="B554" s="1" t="s">
        <v>79</v>
      </c>
      <c r="C554" s="4">
        <v>4</v>
      </c>
      <c r="D554" s="8">
        <v>1.38</v>
      </c>
      <c r="E554" s="4">
        <v>0</v>
      </c>
      <c r="F554" s="8">
        <v>0</v>
      </c>
      <c r="G554" s="4">
        <v>4</v>
      </c>
      <c r="H554" s="8">
        <v>3.36</v>
      </c>
      <c r="I554" s="4">
        <v>0</v>
      </c>
    </row>
    <row r="555" spans="1:9" x14ac:dyDescent="0.2">
      <c r="A555" s="2">
        <v>17</v>
      </c>
      <c r="B555" s="1" t="s">
        <v>94</v>
      </c>
      <c r="C555" s="4">
        <v>4</v>
      </c>
      <c r="D555" s="8">
        <v>1.38</v>
      </c>
      <c r="E555" s="4">
        <v>2</v>
      </c>
      <c r="F555" s="8">
        <v>1.2</v>
      </c>
      <c r="G555" s="4">
        <v>2</v>
      </c>
      <c r="H555" s="8">
        <v>1.68</v>
      </c>
      <c r="I555" s="4">
        <v>0</v>
      </c>
    </row>
    <row r="556" spans="1:9" x14ac:dyDescent="0.2">
      <c r="A556" s="2">
        <v>17</v>
      </c>
      <c r="B556" s="1" t="s">
        <v>80</v>
      </c>
      <c r="C556" s="4">
        <v>4</v>
      </c>
      <c r="D556" s="8">
        <v>1.38</v>
      </c>
      <c r="E556" s="4">
        <v>3</v>
      </c>
      <c r="F556" s="8">
        <v>1.81</v>
      </c>
      <c r="G556" s="4">
        <v>1</v>
      </c>
      <c r="H556" s="8">
        <v>0.84</v>
      </c>
      <c r="I556" s="4">
        <v>0</v>
      </c>
    </row>
    <row r="557" spans="1:9" x14ac:dyDescent="0.2">
      <c r="A557" s="2">
        <v>17</v>
      </c>
      <c r="B557" s="1" t="s">
        <v>86</v>
      </c>
      <c r="C557" s="4">
        <v>4</v>
      </c>
      <c r="D557" s="8">
        <v>1.38</v>
      </c>
      <c r="E557" s="4">
        <v>3</v>
      </c>
      <c r="F557" s="8">
        <v>1.81</v>
      </c>
      <c r="G557" s="4">
        <v>1</v>
      </c>
      <c r="H557" s="8">
        <v>0.84</v>
      </c>
      <c r="I557" s="4">
        <v>0</v>
      </c>
    </row>
    <row r="558" spans="1:9" x14ac:dyDescent="0.2">
      <c r="A558" s="2">
        <v>17</v>
      </c>
      <c r="B558" s="1" t="s">
        <v>97</v>
      </c>
      <c r="C558" s="4">
        <v>4</v>
      </c>
      <c r="D558" s="8">
        <v>1.38</v>
      </c>
      <c r="E558" s="4">
        <v>4</v>
      </c>
      <c r="F558" s="8">
        <v>2.41</v>
      </c>
      <c r="G558" s="4">
        <v>0</v>
      </c>
      <c r="H558" s="8">
        <v>0</v>
      </c>
      <c r="I558" s="4">
        <v>0</v>
      </c>
    </row>
    <row r="559" spans="1:9" x14ac:dyDescent="0.2">
      <c r="A559" s="2">
        <v>17</v>
      </c>
      <c r="B559" s="1" t="s">
        <v>93</v>
      </c>
      <c r="C559" s="4">
        <v>4</v>
      </c>
      <c r="D559" s="8">
        <v>1.38</v>
      </c>
      <c r="E559" s="4">
        <v>4</v>
      </c>
      <c r="F559" s="8">
        <v>2.41</v>
      </c>
      <c r="G559" s="4">
        <v>0</v>
      </c>
      <c r="H559" s="8">
        <v>0</v>
      </c>
      <c r="I559" s="4">
        <v>0</v>
      </c>
    </row>
    <row r="560" spans="1:9" x14ac:dyDescent="0.2">
      <c r="A560" s="1"/>
      <c r="C560" s="4"/>
      <c r="D560" s="8"/>
      <c r="E560" s="4"/>
      <c r="F560" s="8"/>
      <c r="G560" s="4"/>
      <c r="H560" s="8"/>
      <c r="I560" s="4"/>
    </row>
    <row r="561" spans="1:9" x14ac:dyDescent="0.2">
      <c r="A561" s="1" t="s">
        <v>24</v>
      </c>
      <c r="C561" s="4"/>
      <c r="D561" s="8"/>
      <c r="E561" s="4"/>
      <c r="F561" s="8"/>
      <c r="G561" s="4"/>
      <c r="H561" s="8"/>
      <c r="I561" s="4"/>
    </row>
    <row r="562" spans="1:9" x14ac:dyDescent="0.2">
      <c r="A562" s="2">
        <v>1</v>
      </c>
      <c r="B562" s="1" t="s">
        <v>81</v>
      </c>
      <c r="C562" s="4">
        <v>26</v>
      </c>
      <c r="D562" s="8">
        <v>10.44</v>
      </c>
      <c r="E562" s="4">
        <v>23</v>
      </c>
      <c r="F562" s="8">
        <v>13.69</v>
      </c>
      <c r="G562" s="4">
        <v>3</v>
      </c>
      <c r="H562" s="8">
        <v>3.8</v>
      </c>
      <c r="I562" s="4">
        <v>0</v>
      </c>
    </row>
    <row r="563" spans="1:9" x14ac:dyDescent="0.2">
      <c r="A563" s="2">
        <v>2</v>
      </c>
      <c r="B563" s="1" t="s">
        <v>74</v>
      </c>
      <c r="C563" s="4">
        <v>24</v>
      </c>
      <c r="D563" s="8">
        <v>9.64</v>
      </c>
      <c r="E563" s="4">
        <v>14</v>
      </c>
      <c r="F563" s="8">
        <v>8.33</v>
      </c>
      <c r="G563" s="4">
        <v>10</v>
      </c>
      <c r="H563" s="8">
        <v>12.66</v>
      </c>
      <c r="I563" s="4">
        <v>0</v>
      </c>
    </row>
    <row r="564" spans="1:9" x14ac:dyDescent="0.2">
      <c r="A564" s="2">
        <v>3</v>
      </c>
      <c r="B564" s="1" t="s">
        <v>83</v>
      </c>
      <c r="C564" s="4">
        <v>22</v>
      </c>
      <c r="D564" s="8">
        <v>8.84</v>
      </c>
      <c r="E564" s="4">
        <v>11</v>
      </c>
      <c r="F564" s="8">
        <v>6.55</v>
      </c>
      <c r="G564" s="4">
        <v>11</v>
      </c>
      <c r="H564" s="8">
        <v>13.92</v>
      </c>
      <c r="I564" s="4">
        <v>0</v>
      </c>
    </row>
    <row r="565" spans="1:9" x14ac:dyDescent="0.2">
      <c r="A565" s="2">
        <v>4</v>
      </c>
      <c r="B565" s="1" t="s">
        <v>93</v>
      </c>
      <c r="C565" s="4">
        <v>19</v>
      </c>
      <c r="D565" s="8">
        <v>7.63</v>
      </c>
      <c r="E565" s="4">
        <v>17</v>
      </c>
      <c r="F565" s="8">
        <v>10.119999999999999</v>
      </c>
      <c r="G565" s="4">
        <v>2</v>
      </c>
      <c r="H565" s="8">
        <v>2.5299999999999998</v>
      </c>
      <c r="I565" s="4">
        <v>0</v>
      </c>
    </row>
    <row r="566" spans="1:9" x14ac:dyDescent="0.2">
      <c r="A566" s="2">
        <v>5</v>
      </c>
      <c r="B566" s="1" t="s">
        <v>89</v>
      </c>
      <c r="C566" s="4">
        <v>18</v>
      </c>
      <c r="D566" s="8">
        <v>7.23</v>
      </c>
      <c r="E566" s="4">
        <v>18</v>
      </c>
      <c r="F566" s="8">
        <v>10.71</v>
      </c>
      <c r="G566" s="4">
        <v>0</v>
      </c>
      <c r="H566" s="8">
        <v>0</v>
      </c>
      <c r="I566" s="4">
        <v>0</v>
      </c>
    </row>
    <row r="567" spans="1:9" x14ac:dyDescent="0.2">
      <c r="A567" s="2">
        <v>6</v>
      </c>
      <c r="B567" s="1" t="s">
        <v>88</v>
      </c>
      <c r="C567" s="4">
        <v>17</v>
      </c>
      <c r="D567" s="8">
        <v>6.83</v>
      </c>
      <c r="E567" s="4">
        <v>14</v>
      </c>
      <c r="F567" s="8">
        <v>8.33</v>
      </c>
      <c r="G567" s="4">
        <v>3</v>
      </c>
      <c r="H567" s="8">
        <v>3.8</v>
      </c>
      <c r="I567" s="4">
        <v>0</v>
      </c>
    </row>
    <row r="568" spans="1:9" x14ac:dyDescent="0.2">
      <c r="A568" s="2">
        <v>7</v>
      </c>
      <c r="B568" s="1" t="s">
        <v>76</v>
      </c>
      <c r="C568" s="4">
        <v>13</v>
      </c>
      <c r="D568" s="8">
        <v>5.22</v>
      </c>
      <c r="E568" s="4">
        <v>9</v>
      </c>
      <c r="F568" s="8">
        <v>5.36</v>
      </c>
      <c r="G568" s="4">
        <v>4</v>
      </c>
      <c r="H568" s="8">
        <v>5.0599999999999996</v>
      </c>
      <c r="I568" s="4">
        <v>0</v>
      </c>
    </row>
    <row r="569" spans="1:9" x14ac:dyDescent="0.2">
      <c r="A569" s="2">
        <v>8</v>
      </c>
      <c r="B569" s="1" t="s">
        <v>75</v>
      </c>
      <c r="C569" s="4">
        <v>10</v>
      </c>
      <c r="D569" s="8">
        <v>4.0199999999999996</v>
      </c>
      <c r="E569" s="4">
        <v>6</v>
      </c>
      <c r="F569" s="8">
        <v>3.57</v>
      </c>
      <c r="G569" s="4">
        <v>4</v>
      </c>
      <c r="H569" s="8">
        <v>5.0599999999999996</v>
      </c>
      <c r="I569" s="4">
        <v>0</v>
      </c>
    </row>
    <row r="570" spans="1:9" x14ac:dyDescent="0.2">
      <c r="A570" s="2">
        <v>8</v>
      </c>
      <c r="B570" s="1" t="s">
        <v>82</v>
      </c>
      <c r="C570" s="4">
        <v>10</v>
      </c>
      <c r="D570" s="8">
        <v>4.0199999999999996</v>
      </c>
      <c r="E570" s="4">
        <v>7</v>
      </c>
      <c r="F570" s="8">
        <v>4.17</v>
      </c>
      <c r="G570" s="4">
        <v>3</v>
      </c>
      <c r="H570" s="8">
        <v>3.8</v>
      </c>
      <c r="I570" s="4">
        <v>0</v>
      </c>
    </row>
    <row r="571" spans="1:9" x14ac:dyDescent="0.2">
      <c r="A571" s="2">
        <v>8</v>
      </c>
      <c r="B571" s="1" t="s">
        <v>90</v>
      </c>
      <c r="C571" s="4">
        <v>10</v>
      </c>
      <c r="D571" s="8">
        <v>4.0199999999999996</v>
      </c>
      <c r="E571" s="4">
        <v>8</v>
      </c>
      <c r="F571" s="8">
        <v>4.76</v>
      </c>
      <c r="G571" s="4">
        <v>0</v>
      </c>
      <c r="H571" s="8">
        <v>0</v>
      </c>
      <c r="I571" s="4">
        <v>0</v>
      </c>
    </row>
    <row r="572" spans="1:9" x14ac:dyDescent="0.2">
      <c r="A572" s="2">
        <v>11</v>
      </c>
      <c r="B572" s="1" t="s">
        <v>77</v>
      </c>
      <c r="C572" s="4">
        <v>6</v>
      </c>
      <c r="D572" s="8">
        <v>2.41</v>
      </c>
      <c r="E572" s="4">
        <v>5</v>
      </c>
      <c r="F572" s="8">
        <v>2.98</v>
      </c>
      <c r="G572" s="4">
        <v>1</v>
      </c>
      <c r="H572" s="8">
        <v>1.27</v>
      </c>
      <c r="I572" s="4">
        <v>0</v>
      </c>
    </row>
    <row r="573" spans="1:9" x14ac:dyDescent="0.2">
      <c r="A573" s="2">
        <v>11</v>
      </c>
      <c r="B573" s="1" t="s">
        <v>92</v>
      </c>
      <c r="C573" s="4">
        <v>6</v>
      </c>
      <c r="D573" s="8">
        <v>2.41</v>
      </c>
      <c r="E573" s="4">
        <v>1</v>
      </c>
      <c r="F573" s="8">
        <v>0.6</v>
      </c>
      <c r="G573" s="4">
        <v>5</v>
      </c>
      <c r="H573" s="8">
        <v>6.33</v>
      </c>
      <c r="I573" s="4">
        <v>0</v>
      </c>
    </row>
    <row r="574" spans="1:9" x14ac:dyDescent="0.2">
      <c r="A574" s="2">
        <v>13</v>
      </c>
      <c r="B574" s="1" t="s">
        <v>85</v>
      </c>
      <c r="C574" s="4">
        <v>5</v>
      </c>
      <c r="D574" s="8">
        <v>2.0099999999999998</v>
      </c>
      <c r="E574" s="4">
        <v>3</v>
      </c>
      <c r="F574" s="8">
        <v>1.79</v>
      </c>
      <c r="G574" s="4">
        <v>2</v>
      </c>
      <c r="H574" s="8">
        <v>2.5299999999999998</v>
      </c>
      <c r="I574" s="4">
        <v>0</v>
      </c>
    </row>
    <row r="575" spans="1:9" x14ac:dyDescent="0.2">
      <c r="A575" s="2">
        <v>13</v>
      </c>
      <c r="B575" s="1" t="s">
        <v>86</v>
      </c>
      <c r="C575" s="4">
        <v>5</v>
      </c>
      <c r="D575" s="8">
        <v>2.0099999999999998</v>
      </c>
      <c r="E575" s="4">
        <v>3</v>
      </c>
      <c r="F575" s="8">
        <v>1.79</v>
      </c>
      <c r="G575" s="4">
        <v>2</v>
      </c>
      <c r="H575" s="8">
        <v>2.5299999999999998</v>
      </c>
      <c r="I575" s="4">
        <v>0</v>
      </c>
    </row>
    <row r="576" spans="1:9" x14ac:dyDescent="0.2">
      <c r="A576" s="2">
        <v>13</v>
      </c>
      <c r="B576" s="1" t="s">
        <v>91</v>
      </c>
      <c r="C576" s="4">
        <v>5</v>
      </c>
      <c r="D576" s="8">
        <v>2.0099999999999998</v>
      </c>
      <c r="E576" s="4">
        <v>5</v>
      </c>
      <c r="F576" s="8">
        <v>2.98</v>
      </c>
      <c r="G576" s="4">
        <v>0</v>
      </c>
      <c r="H576" s="8">
        <v>0</v>
      </c>
      <c r="I576" s="4">
        <v>0</v>
      </c>
    </row>
    <row r="577" spans="1:9" x14ac:dyDescent="0.2">
      <c r="A577" s="2">
        <v>16</v>
      </c>
      <c r="B577" s="1" t="s">
        <v>109</v>
      </c>
      <c r="C577" s="4">
        <v>4</v>
      </c>
      <c r="D577" s="8">
        <v>1.61</v>
      </c>
      <c r="E577" s="4">
        <v>2</v>
      </c>
      <c r="F577" s="8">
        <v>1.19</v>
      </c>
      <c r="G577" s="4">
        <v>2</v>
      </c>
      <c r="H577" s="8">
        <v>2.5299999999999998</v>
      </c>
      <c r="I577" s="4">
        <v>0</v>
      </c>
    </row>
    <row r="578" spans="1:9" x14ac:dyDescent="0.2">
      <c r="A578" s="2">
        <v>16</v>
      </c>
      <c r="B578" s="1" t="s">
        <v>101</v>
      </c>
      <c r="C578" s="4">
        <v>4</v>
      </c>
      <c r="D578" s="8">
        <v>1.61</v>
      </c>
      <c r="E578" s="4">
        <v>2</v>
      </c>
      <c r="F578" s="8">
        <v>1.19</v>
      </c>
      <c r="G578" s="4">
        <v>2</v>
      </c>
      <c r="H578" s="8">
        <v>2.5299999999999998</v>
      </c>
      <c r="I578" s="4">
        <v>0</v>
      </c>
    </row>
    <row r="579" spans="1:9" x14ac:dyDescent="0.2">
      <c r="A579" s="2">
        <v>18</v>
      </c>
      <c r="B579" s="1" t="s">
        <v>78</v>
      </c>
      <c r="C579" s="4">
        <v>3</v>
      </c>
      <c r="D579" s="8">
        <v>1.2</v>
      </c>
      <c r="E579" s="4">
        <v>2</v>
      </c>
      <c r="F579" s="8">
        <v>1.19</v>
      </c>
      <c r="G579" s="4">
        <v>1</v>
      </c>
      <c r="H579" s="8">
        <v>1.27</v>
      </c>
      <c r="I579" s="4">
        <v>0</v>
      </c>
    </row>
    <row r="580" spans="1:9" x14ac:dyDescent="0.2">
      <c r="A580" s="2">
        <v>18</v>
      </c>
      <c r="B580" s="1" t="s">
        <v>79</v>
      </c>
      <c r="C580" s="4">
        <v>3</v>
      </c>
      <c r="D580" s="8">
        <v>1.2</v>
      </c>
      <c r="E580" s="4">
        <v>0</v>
      </c>
      <c r="F580" s="8">
        <v>0</v>
      </c>
      <c r="G580" s="4">
        <v>3</v>
      </c>
      <c r="H580" s="8">
        <v>3.8</v>
      </c>
      <c r="I580" s="4">
        <v>0</v>
      </c>
    </row>
    <row r="581" spans="1:9" x14ac:dyDescent="0.2">
      <c r="A581" s="2">
        <v>18</v>
      </c>
      <c r="B581" s="1" t="s">
        <v>98</v>
      </c>
      <c r="C581" s="4">
        <v>3</v>
      </c>
      <c r="D581" s="8">
        <v>1.2</v>
      </c>
      <c r="E581" s="4">
        <v>2</v>
      </c>
      <c r="F581" s="8">
        <v>1.19</v>
      </c>
      <c r="G581" s="4">
        <v>1</v>
      </c>
      <c r="H581" s="8">
        <v>1.27</v>
      </c>
      <c r="I581" s="4">
        <v>0</v>
      </c>
    </row>
    <row r="582" spans="1:9" x14ac:dyDescent="0.2">
      <c r="A582" s="2">
        <v>18</v>
      </c>
      <c r="B582" s="1" t="s">
        <v>87</v>
      </c>
      <c r="C582" s="4">
        <v>3</v>
      </c>
      <c r="D582" s="8">
        <v>1.2</v>
      </c>
      <c r="E582" s="4">
        <v>2</v>
      </c>
      <c r="F582" s="8">
        <v>1.19</v>
      </c>
      <c r="G582" s="4">
        <v>1</v>
      </c>
      <c r="H582" s="8">
        <v>1.27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25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89</v>
      </c>
      <c r="C585" s="4">
        <v>60</v>
      </c>
      <c r="D585" s="8">
        <v>9.9700000000000006</v>
      </c>
      <c r="E585" s="4">
        <v>50</v>
      </c>
      <c r="F585" s="8">
        <v>19.53</v>
      </c>
      <c r="G585" s="4">
        <v>10</v>
      </c>
      <c r="H585" s="8">
        <v>2.96</v>
      </c>
      <c r="I585" s="4">
        <v>0</v>
      </c>
    </row>
    <row r="586" spans="1:9" x14ac:dyDescent="0.2">
      <c r="A586" s="2">
        <v>2</v>
      </c>
      <c r="B586" s="1" t="s">
        <v>88</v>
      </c>
      <c r="C586" s="4">
        <v>57</v>
      </c>
      <c r="D586" s="8">
        <v>9.4700000000000006</v>
      </c>
      <c r="E586" s="4">
        <v>38</v>
      </c>
      <c r="F586" s="8">
        <v>14.84</v>
      </c>
      <c r="G586" s="4">
        <v>19</v>
      </c>
      <c r="H586" s="8">
        <v>5.62</v>
      </c>
      <c r="I586" s="4">
        <v>0</v>
      </c>
    </row>
    <row r="587" spans="1:9" x14ac:dyDescent="0.2">
      <c r="A587" s="2">
        <v>3</v>
      </c>
      <c r="B587" s="1" t="s">
        <v>83</v>
      </c>
      <c r="C587" s="4">
        <v>40</v>
      </c>
      <c r="D587" s="8">
        <v>6.64</v>
      </c>
      <c r="E587" s="4">
        <v>19</v>
      </c>
      <c r="F587" s="8">
        <v>7.42</v>
      </c>
      <c r="G587" s="4">
        <v>21</v>
      </c>
      <c r="H587" s="8">
        <v>6.21</v>
      </c>
      <c r="I587" s="4">
        <v>0</v>
      </c>
    </row>
    <row r="588" spans="1:9" x14ac:dyDescent="0.2">
      <c r="A588" s="2">
        <v>4</v>
      </c>
      <c r="B588" s="1" t="s">
        <v>74</v>
      </c>
      <c r="C588" s="4">
        <v>39</v>
      </c>
      <c r="D588" s="8">
        <v>6.48</v>
      </c>
      <c r="E588" s="4">
        <v>2</v>
      </c>
      <c r="F588" s="8">
        <v>0.78</v>
      </c>
      <c r="G588" s="4">
        <v>37</v>
      </c>
      <c r="H588" s="8">
        <v>10.95</v>
      </c>
      <c r="I588" s="4">
        <v>0</v>
      </c>
    </row>
    <row r="589" spans="1:9" x14ac:dyDescent="0.2">
      <c r="A589" s="2">
        <v>5</v>
      </c>
      <c r="B589" s="1" t="s">
        <v>85</v>
      </c>
      <c r="C589" s="4">
        <v>35</v>
      </c>
      <c r="D589" s="8">
        <v>5.81</v>
      </c>
      <c r="E589" s="4">
        <v>12</v>
      </c>
      <c r="F589" s="8">
        <v>4.6900000000000004</v>
      </c>
      <c r="G589" s="4">
        <v>22</v>
      </c>
      <c r="H589" s="8">
        <v>6.51</v>
      </c>
      <c r="I589" s="4">
        <v>0</v>
      </c>
    </row>
    <row r="590" spans="1:9" x14ac:dyDescent="0.2">
      <c r="A590" s="2">
        <v>6</v>
      </c>
      <c r="B590" s="1" t="s">
        <v>81</v>
      </c>
      <c r="C590" s="4">
        <v>32</v>
      </c>
      <c r="D590" s="8">
        <v>5.32</v>
      </c>
      <c r="E590" s="4">
        <v>22</v>
      </c>
      <c r="F590" s="8">
        <v>8.59</v>
      </c>
      <c r="G590" s="4">
        <v>10</v>
      </c>
      <c r="H590" s="8">
        <v>2.96</v>
      </c>
      <c r="I590" s="4">
        <v>0</v>
      </c>
    </row>
    <row r="591" spans="1:9" x14ac:dyDescent="0.2">
      <c r="A591" s="2">
        <v>7</v>
      </c>
      <c r="B591" s="1" t="s">
        <v>90</v>
      </c>
      <c r="C591" s="4">
        <v>26</v>
      </c>
      <c r="D591" s="8">
        <v>4.32</v>
      </c>
      <c r="E591" s="4">
        <v>18</v>
      </c>
      <c r="F591" s="8">
        <v>7.03</v>
      </c>
      <c r="G591" s="4">
        <v>6</v>
      </c>
      <c r="H591" s="8">
        <v>1.78</v>
      </c>
      <c r="I591" s="4">
        <v>0</v>
      </c>
    </row>
    <row r="592" spans="1:9" x14ac:dyDescent="0.2">
      <c r="A592" s="2">
        <v>8</v>
      </c>
      <c r="B592" s="1" t="s">
        <v>82</v>
      </c>
      <c r="C592" s="4">
        <v>21</v>
      </c>
      <c r="D592" s="8">
        <v>3.49</v>
      </c>
      <c r="E592" s="4">
        <v>14</v>
      </c>
      <c r="F592" s="8">
        <v>5.47</v>
      </c>
      <c r="G592" s="4">
        <v>7</v>
      </c>
      <c r="H592" s="8">
        <v>2.0699999999999998</v>
      </c>
      <c r="I592" s="4">
        <v>0</v>
      </c>
    </row>
    <row r="593" spans="1:9" x14ac:dyDescent="0.2">
      <c r="A593" s="2">
        <v>9</v>
      </c>
      <c r="B593" s="1" t="s">
        <v>76</v>
      </c>
      <c r="C593" s="4">
        <v>20</v>
      </c>
      <c r="D593" s="8">
        <v>3.32</v>
      </c>
      <c r="E593" s="4">
        <v>8</v>
      </c>
      <c r="F593" s="8">
        <v>3.13</v>
      </c>
      <c r="G593" s="4">
        <v>12</v>
      </c>
      <c r="H593" s="8">
        <v>3.55</v>
      </c>
      <c r="I593" s="4">
        <v>0</v>
      </c>
    </row>
    <row r="594" spans="1:9" x14ac:dyDescent="0.2">
      <c r="A594" s="2">
        <v>10</v>
      </c>
      <c r="B594" s="1" t="s">
        <v>75</v>
      </c>
      <c r="C594" s="4">
        <v>16</v>
      </c>
      <c r="D594" s="8">
        <v>2.66</v>
      </c>
      <c r="E594" s="4">
        <v>6</v>
      </c>
      <c r="F594" s="8">
        <v>2.34</v>
      </c>
      <c r="G594" s="4">
        <v>10</v>
      </c>
      <c r="H594" s="8">
        <v>2.96</v>
      </c>
      <c r="I594" s="4">
        <v>0</v>
      </c>
    </row>
    <row r="595" spans="1:9" x14ac:dyDescent="0.2">
      <c r="A595" s="2">
        <v>10</v>
      </c>
      <c r="B595" s="1" t="s">
        <v>87</v>
      </c>
      <c r="C595" s="4">
        <v>16</v>
      </c>
      <c r="D595" s="8">
        <v>2.66</v>
      </c>
      <c r="E595" s="4">
        <v>1</v>
      </c>
      <c r="F595" s="8">
        <v>0.39</v>
      </c>
      <c r="G595" s="4">
        <v>15</v>
      </c>
      <c r="H595" s="8">
        <v>4.4400000000000004</v>
      </c>
      <c r="I595" s="4">
        <v>0</v>
      </c>
    </row>
    <row r="596" spans="1:9" x14ac:dyDescent="0.2">
      <c r="A596" s="2">
        <v>12</v>
      </c>
      <c r="B596" s="1" t="s">
        <v>86</v>
      </c>
      <c r="C596" s="4">
        <v>15</v>
      </c>
      <c r="D596" s="8">
        <v>2.4900000000000002</v>
      </c>
      <c r="E596" s="4">
        <v>9</v>
      </c>
      <c r="F596" s="8">
        <v>3.52</v>
      </c>
      <c r="G596" s="4">
        <v>6</v>
      </c>
      <c r="H596" s="8">
        <v>1.78</v>
      </c>
      <c r="I596" s="4">
        <v>0</v>
      </c>
    </row>
    <row r="597" spans="1:9" x14ac:dyDescent="0.2">
      <c r="A597" s="2">
        <v>13</v>
      </c>
      <c r="B597" s="1" t="s">
        <v>93</v>
      </c>
      <c r="C597" s="4">
        <v>14</v>
      </c>
      <c r="D597" s="8">
        <v>2.33</v>
      </c>
      <c r="E597" s="4">
        <v>10</v>
      </c>
      <c r="F597" s="8">
        <v>3.91</v>
      </c>
      <c r="G597" s="4">
        <v>4</v>
      </c>
      <c r="H597" s="8">
        <v>1.18</v>
      </c>
      <c r="I597" s="4">
        <v>0</v>
      </c>
    </row>
    <row r="598" spans="1:9" x14ac:dyDescent="0.2">
      <c r="A598" s="2">
        <v>14</v>
      </c>
      <c r="B598" s="1" t="s">
        <v>91</v>
      </c>
      <c r="C598" s="4">
        <v>12</v>
      </c>
      <c r="D598" s="8">
        <v>1.99</v>
      </c>
      <c r="E598" s="4">
        <v>11</v>
      </c>
      <c r="F598" s="8">
        <v>4.3</v>
      </c>
      <c r="G598" s="4">
        <v>1</v>
      </c>
      <c r="H598" s="8">
        <v>0.3</v>
      </c>
      <c r="I598" s="4">
        <v>0</v>
      </c>
    </row>
    <row r="599" spans="1:9" x14ac:dyDescent="0.2">
      <c r="A599" s="2">
        <v>15</v>
      </c>
      <c r="B599" s="1" t="s">
        <v>77</v>
      </c>
      <c r="C599" s="4">
        <v>11</v>
      </c>
      <c r="D599" s="8">
        <v>1.83</v>
      </c>
      <c r="E599" s="4">
        <v>2</v>
      </c>
      <c r="F599" s="8">
        <v>0.78</v>
      </c>
      <c r="G599" s="4">
        <v>9</v>
      </c>
      <c r="H599" s="8">
        <v>2.66</v>
      </c>
      <c r="I599" s="4">
        <v>0</v>
      </c>
    </row>
    <row r="600" spans="1:9" x14ac:dyDescent="0.2">
      <c r="A600" s="2">
        <v>16</v>
      </c>
      <c r="B600" s="1" t="s">
        <v>114</v>
      </c>
      <c r="C600" s="4">
        <v>10</v>
      </c>
      <c r="D600" s="8">
        <v>1.66</v>
      </c>
      <c r="E600" s="4">
        <v>2</v>
      </c>
      <c r="F600" s="8">
        <v>0.78</v>
      </c>
      <c r="G600" s="4">
        <v>8</v>
      </c>
      <c r="H600" s="8">
        <v>2.37</v>
      </c>
      <c r="I600" s="4">
        <v>0</v>
      </c>
    </row>
    <row r="601" spans="1:9" x14ac:dyDescent="0.2">
      <c r="A601" s="2">
        <v>16</v>
      </c>
      <c r="B601" s="1" t="s">
        <v>79</v>
      </c>
      <c r="C601" s="4">
        <v>10</v>
      </c>
      <c r="D601" s="8">
        <v>1.66</v>
      </c>
      <c r="E601" s="4">
        <v>0</v>
      </c>
      <c r="F601" s="8">
        <v>0</v>
      </c>
      <c r="G601" s="4">
        <v>10</v>
      </c>
      <c r="H601" s="8">
        <v>2.96</v>
      </c>
      <c r="I601" s="4">
        <v>0</v>
      </c>
    </row>
    <row r="602" spans="1:9" x14ac:dyDescent="0.2">
      <c r="A602" s="2">
        <v>16</v>
      </c>
      <c r="B602" s="1" t="s">
        <v>80</v>
      </c>
      <c r="C602" s="4">
        <v>10</v>
      </c>
      <c r="D602" s="8">
        <v>1.66</v>
      </c>
      <c r="E602" s="4">
        <v>2</v>
      </c>
      <c r="F602" s="8">
        <v>0.78</v>
      </c>
      <c r="G602" s="4">
        <v>7</v>
      </c>
      <c r="H602" s="8">
        <v>2.0699999999999998</v>
      </c>
      <c r="I602" s="4">
        <v>1</v>
      </c>
    </row>
    <row r="603" spans="1:9" x14ac:dyDescent="0.2">
      <c r="A603" s="2">
        <v>16</v>
      </c>
      <c r="B603" s="1" t="s">
        <v>97</v>
      </c>
      <c r="C603" s="4">
        <v>10</v>
      </c>
      <c r="D603" s="8">
        <v>1.66</v>
      </c>
      <c r="E603" s="4">
        <v>4</v>
      </c>
      <c r="F603" s="8">
        <v>1.56</v>
      </c>
      <c r="G603" s="4">
        <v>6</v>
      </c>
      <c r="H603" s="8">
        <v>1.78</v>
      </c>
      <c r="I603" s="4">
        <v>0</v>
      </c>
    </row>
    <row r="604" spans="1:9" x14ac:dyDescent="0.2">
      <c r="A604" s="2">
        <v>20</v>
      </c>
      <c r="B604" s="1" t="s">
        <v>99</v>
      </c>
      <c r="C604" s="4">
        <v>9</v>
      </c>
      <c r="D604" s="8">
        <v>1.5</v>
      </c>
      <c r="E604" s="4">
        <v>2</v>
      </c>
      <c r="F604" s="8">
        <v>0.78</v>
      </c>
      <c r="G604" s="4">
        <v>7</v>
      </c>
      <c r="H604" s="8">
        <v>2.0699999999999998</v>
      </c>
      <c r="I604" s="4">
        <v>0</v>
      </c>
    </row>
    <row r="605" spans="1:9" x14ac:dyDescent="0.2">
      <c r="A605" s="1"/>
      <c r="C605" s="4"/>
      <c r="D605" s="8"/>
      <c r="E605" s="4"/>
      <c r="F605" s="8"/>
      <c r="G605" s="4"/>
      <c r="H605" s="8"/>
      <c r="I605" s="4"/>
    </row>
    <row r="606" spans="1:9" x14ac:dyDescent="0.2">
      <c r="A606" s="1" t="s">
        <v>26</v>
      </c>
      <c r="C606" s="4"/>
      <c r="D606" s="8"/>
      <c r="E606" s="4"/>
      <c r="F606" s="8"/>
      <c r="G606" s="4"/>
      <c r="H606" s="8"/>
      <c r="I606" s="4"/>
    </row>
    <row r="607" spans="1:9" x14ac:dyDescent="0.2">
      <c r="A607" s="2">
        <v>1</v>
      </c>
      <c r="B607" s="1" t="s">
        <v>89</v>
      </c>
      <c r="C607" s="4">
        <v>94</v>
      </c>
      <c r="D607" s="8">
        <v>12.18</v>
      </c>
      <c r="E607" s="4">
        <v>65</v>
      </c>
      <c r="F607" s="8">
        <v>20.63</v>
      </c>
      <c r="G607" s="4">
        <v>29</v>
      </c>
      <c r="H607" s="8">
        <v>6.42</v>
      </c>
      <c r="I607" s="4">
        <v>0</v>
      </c>
    </row>
    <row r="608" spans="1:9" x14ac:dyDescent="0.2">
      <c r="A608" s="2">
        <v>2</v>
      </c>
      <c r="B608" s="1" t="s">
        <v>83</v>
      </c>
      <c r="C608" s="4">
        <v>59</v>
      </c>
      <c r="D608" s="8">
        <v>7.64</v>
      </c>
      <c r="E608" s="4">
        <v>22</v>
      </c>
      <c r="F608" s="8">
        <v>6.98</v>
      </c>
      <c r="G608" s="4">
        <v>37</v>
      </c>
      <c r="H608" s="8">
        <v>8.19</v>
      </c>
      <c r="I608" s="4">
        <v>0</v>
      </c>
    </row>
    <row r="609" spans="1:9" x14ac:dyDescent="0.2">
      <c r="A609" s="2">
        <v>3</v>
      </c>
      <c r="B609" s="1" t="s">
        <v>88</v>
      </c>
      <c r="C609" s="4">
        <v>54</v>
      </c>
      <c r="D609" s="8">
        <v>6.99</v>
      </c>
      <c r="E609" s="4">
        <v>39</v>
      </c>
      <c r="F609" s="8">
        <v>12.38</v>
      </c>
      <c r="G609" s="4">
        <v>15</v>
      </c>
      <c r="H609" s="8">
        <v>3.32</v>
      </c>
      <c r="I609" s="4">
        <v>0</v>
      </c>
    </row>
    <row r="610" spans="1:9" x14ac:dyDescent="0.2">
      <c r="A610" s="2">
        <v>4</v>
      </c>
      <c r="B610" s="1" t="s">
        <v>74</v>
      </c>
      <c r="C610" s="4">
        <v>47</v>
      </c>
      <c r="D610" s="8">
        <v>6.09</v>
      </c>
      <c r="E610" s="4">
        <v>9</v>
      </c>
      <c r="F610" s="8">
        <v>2.86</v>
      </c>
      <c r="G610" s="4">
        <v>38</v>
      </c>
      <c r="H610" s="8">
        <v>8.41</v>
      </c>
      <c r="I610" s="4">
        <v>0</v>
      </c>
    </row>
    <row r="611" spans="1:9" x14ac:dyDescent="0.2">
      <c r="A611" s="2">
        <v>5</v>
      </c>
      <c r="B611" s="1" t="s">
        <v>75</v>
      </c>
      <c r="C611" s="4">
        <v>45</v>
      </c>
      <c r="D611" s="8">
        <v>5.83</v>
      </c>
      <c r="E611" s="4">
        <v>13</v>
      </c>
      <c r="F611" s="8">
        <v>4.13</v>
      </c>
      <c r="G611" s="4">
        <v>32</v>
      </c>
      <c r="H611" s="8">
        <v>7.08</v>
      </c>
      <c r="I611" s="4">
        <v>0</v>
      </c>
    </row>
    <row r="612" spans="1:9" x14ac:dyDescent="0.2">
      <c r="A612" s="2">
        <v>6</v>
      </c>
      <c r="B612" s="1" t="s">
        <v>80</v>
      </c>
      <c r="C612" s="4">
        <v>40</v>
      </c>
      <c r="D612" s="8">
        <v>5.18</v>
      </c>
      <c r="E612" s="4">
        <v>4</v>
      </c>
      <c r="F612" s="8">
        <v>1.27</v>
      </c>
      <c r="G612" s="4">
        <v>36</v>
      </c>
      <c r="H612" s="8">
        <v>7.96</v>
      </c>
      <c r="I612" s="4">
        <v>0</v>
      </c>
    </row>
    <row r="613" spans="1:9" x14ac:dyDescent="0.2">
      <c r="A613" s="2">
        <v>7</v>
      </c>
      <c r="B613" s="1" t="s">
        <v>76</v>
      </c>
      <c r="C613" s="4">
        <v>35</v>
      </c>
      <c r="D613" s="8">
        <v>4.53</v>
      </c>
      <c r="E613" s="4">
        <v>6</v>
      </c>
      <c r="F613" s="8">
        <v>1.9</v>
      </c>
      <c r="G613" s="4">
        <v>29</v>
      </c>
      <c r="H613" s="8">
        <v>6.42</v>
      </c>
      <c r="I613" s="4">
        <v>0</v>
      </c>
    </row>
    <row r="614" spans="1:9" x14ac:dyDescent="0.2">
      <c r="A614" s="2">
        <v>8</v>
      </c>
      <c r="B614" s="1" t="s">
        <v>82</v>
      </c>
      <c r="C614" s="4">
        <v>33</v>
      </c>
      <c r="D614" s="8">
        <v>4.2699999999999996</v>
      </c>
      <c r="E614" s="4">
        <v>17</v>
      </c>
      <c r="F614" s="8">
        <v>5.4</v>
      </c>
      <c r="G614" s="4">
        <v>16</v>
      </c>
      <c r="H614" s="8">
        <v>3.54</v>
      </c>
      <c r="I614" s="4">
        <v>0</v>
      </c>
    </row>
    <row r="615" spans="1:9" x14ac:dyDescent="0.2">
      <c r="A615" s="2">
        <v>8</v>
      </c>
      <c r="B615" s="1" t="s">
        <v>90</v>
      </c>
      <c r="C615" s="4">
        <v>33</v>
      </c>
      <c r="D615" s="8">
        <v>4.2699999999999996</v>
      </c>
      <c r="E615" s="4">
        <v>23</v>
      </c>
      <c r="F615" s="8">
        <v>7.3</v>
      </c>
      <c r="G615" s="4">
        <v>9</v>
      </c>
      <c r="H615" s="8">
        <v>1.99</v>
      </c>
      <c r="I615" s="4">
        <v>0</v>
      </c>
    </row>
    <row r="616" spans="1:9" x14ac:dyDescent="0.2">
      <c r="A616" s="2">
        <v>10</v>
      </c>
      <c r="B616" s="1" t="s">
        <v>85</v>
      </c>
      <c r="C616" s="4">
        <v>32</v>
      </c>
      <c r="D616" s="8">
        <v>4.1500000000000004</v>
      </c>
      <c r="E616" s="4">
        <v>4</v>
      </c>
      <c r="F616" s="8">
        <v>1.27</v>
      </c>
      <c r="G616" s="4">
        <v>28</v>
      </c>
      <c r="H616" s="8">
        <v>6.19</v>
      </c>
      <c r="I616" s="4">
        <v>0</v>
      </c>
    </row>
    <row r="617" spans="1:9" x14ac:dyDescent="0.2">
      <c r="A617" s="2">
        <v>10</v>
      </c>
      <c r="B617" s="1" t="s">
        <v>91</v>
      </c>
      <c r="C617" s="4">
        <v>32</v>
      </c>
      <c r="D617" s="8">
        <v>4.1500000000000004</v>
      </c>
      <c r="E617" s="4">
        <v>27</v>
      </c>
      <c r="F617" s="8">
        <v>8.57</v>
      </c>
      <c r="G617" s="4">
        <v>5</v>
      </c>
      <c r="H617" s="8">
        <v>1.1100000000000001</v>
      </c>
      <c r="I617" s="4">
        <v>0</v>
      </c>
    </row>
    <row r="618" spans="1:9" x14ac:dyDescent="0.2">
      <c r="A618" s="2">
        <v>12</v>
      </c>
      <c r="B618" s="1" t="s">
        <v>81</v>
      </c>
      <c r="C618" s="4">
        <v>30</v>
      </c>
      <c r="D618" s="8">
        <v>3.89</v>
      </c>
      <c r="E618" s="4">
        <v>19</v>
      </c>
      <c r="F618" s="8">
        <v>6.03</v>
      </c>
      <c r="G618" s="4">
        <v>11</v>
      </c>
      <c r="H618" s="8">
        <v>2.4300000000000002</v>
      </c>
      <c r="I618" s="4">
        <v>0</v>
      </c>
    </row>
    <row r="619" spans="1:9" x14ac:dyDescent="0.2">
      <c r="A619" s="2">
        <v>13</v>
      </c>
      <c r="B619" s="1" t="s">
        <v>86</v>
      </c>
      <c r="C619" s="4">
        <v>24</v>
      </c>
      <c r="D619" s="8">
        <v>3.11</v>
      </c>
      <c r="E619" s="4">
        <v>14</v>
      </c>
      <c r="F619" s="8">
        <v>4.4400000000000004</v>
      </c>
      <c r="G619" s="4">
        <v>10</v>
      </c>
      <c r="H619" s="8">
        <v>2.21</v>
      </c>
      <c r="I619" s="4">
        <v>0</v>
      </c>
    </row>
    <row r="620" spans="1:9" x14ac:dyDescent="0.2">
      <c r="A620" s="2">
        <v>14</v>
      </c>
      <c r="B620" s="1" t="s">
        <v>79</v>
      </c>
      <c r="C620" s="4">
        <v>23</v>
      </c>
      <c r="D620" s="8">
        <v>2.98</v>
      </c>
      <c r="E620" s="4">
        <v>0</v>
      </c>
      <c r="F620" s="8">
        <v>0</v>
      </c>
      <c r="G620" s="4">
        <v>23</v>
      </c>
      <c r="H620" s="8">
        <v>5.09</v>
      </c>
      <c r="I620" s="4">
        <v>0</v>
      </c>
    </row>
    <row r="621" spans="1:9" x14ac:dyDescent="0.2">
      <c r="A621" s="2">
        <v>15</v>
      </c>
      <c r="B621" s="1" t="s">
        <v>87</v>
      </c>
      <c r="C621" s="4">
        <v>18</v>
      </c>
      <c r="D621" s="8">
        <v>2.33</v>
      </c>
      <c r="E621" s="4">
        <v>6</v>
      </c>
      <c r="F621" s="8">
        <v>1.9</v>
      </c>
      <c r="G621" s="4">
        <v>12</v>
      </c>
      <c r="H621" s="8">
        <v>2.65</v>
      </c>
      <c r="I621" s="4">
        <v>0</v>
      </c>
    </row>
    <row r="622" spans="1:9" x14ac:dyDescent="0.2">
      <c r="A622" s="2">
        <v>16</v>
      </c>
      <c r="B622" s="1" t="s">
        <v>94</v>
      </c>
      <c r="C622" s="4">
        <v>17</v>
      </c>
      <c r="D622" s="8">
        <v>2.2000000000000002</v>
      </c>
      <c r="E622" s="4">
        <v>5</v>
      </c>
      <c r="F622" s="8">
        <v>1.59</v>
      </c>
      <c r="G622" s="4">
        <v>12</v>
      </c>
      <c r="H622" s="8">
        <v>2.65</v>
      </c>
      <c r="I622" s="4">
        <v>0</v>
      </c>
    </row>
    <row r="623" spans="1:9" x14ac:dyDescent="0.2">
      <c r="A623" s="2">
        <v>16</v>
      </c>
      <c r="B623" s="1" t="s">
        <v>84</v>
      </c>
      <c r="C623" s="4">
        <v>17</v>
      </c>
      <c r="D623" s="8">
        <v>2.2000000000000002</v>
      </c>
      <c r="E623" s="4">
        <v>5</v>
      </c>
      <c r="F623" s="8">
        <v>1.59</v>
      </c>
      <c r="G623" s="4">
        <v>12</v>
      </c>
      <c r="H623" s="8">
        <v>2.65</v>
      </c>
      <c r="I623" s="4">
        <v>0</v>
      </c>
    </row>
    <row r="624" spans="1:9" x14ac:dyDescent="0.2">
      <c r="A624" s="2">
        <v>16</v>
      </c>
      <c r="B624" s="1" t="s">
        <v>92</v>
      </c>
      <c r="C624" s="4">
        <v>17</v>
      </c>
      <c r="D624" s="8">
        <v>2.2000000000000002</v>
      </c>
      <c r="E624" s="4">
        <v>0</v>
      </c>
      <c r="F624" s="8">
        <v>0</v>
      </c>
      <c r="G624" s="4">
        <v>17</v>
      </c>
      <c r="H624" s="8">
        <v>3.76</v>
      </c>
      <c r="I624" s="4">
        <v>0</v>
      </c>
    </row>
    <row r="625" spans="1:9" x14ac:dyDescent="0.2">
      <c r="A625" s="2">
        <v>19</v>
      </c>
      <c r="B625" s="1" t="s">
        <v>93</v>
      </c>
      <c r="C625" s="4">
        <v>16</v>
      </c>
      <c r="D625" s="8">
        <v>2.0699999999999998</v>
      </c>
      <c r="E625" s="4">
        <v>12</v>
      </c>
      <c r="F625" s="8">
        <v>3.81</v>
      </c>
      <c r="G625" s="4">
        <v>4</v>
      </c>
      <c r="H625" s="8">
        <v>0.88</v>
      </c>
      <c r="I625" s="4">
        <v>0</v>
      </c>
    </row>
    <row r="626" spans="1:9" x14ac:dyDescent="0.2">
      <c r="A626" s="2">
        <v>20</v>
      </c>
      <c r="B626" s="1" t="s">
        <v>99</v>
      </c>
      <c r="C626" s="4">
        <v>10</v>
      </c>
      <c r="D626" s="8">
        <v>1.3</v>
      </c>
      <c r="E626" s="4">
        <v>0</v>
      </c>
      <c r="F626" s="8">
        <v>0</v>
      </c>
      <c r="G626" s="4">
        <v>10</v>
      </c>
      <c r="H626" s="8">
        <v>2.21</v>
      </c>
      <c r="I626" s="4">
        <v>0</v>
      </c>
    </row>
    <row r="627" spans="1:9" x14ac:dyDescent="0.2">
      <c r="A627" s="2">
        <v>20</v>
      </c>
      <c r="B627" s="1" t="s">
        <v>97</v>
      </c>
      <c r="C627" s="4">
        <v>10</v>
      </c>
      <c r="D627" s="8">
        <v>1.3</v>
      </c>
      <c r="E627" s="4">
        <v>3</v>
      </c>
      <c r="F627" s="8">
        <v>0.95</v>
      </c>
      <c r="G627" s="4">
        <v>7</v>
      </c>
      <c r="H627" s="8">
        <v>1.55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27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88</v>
      </c>
      <c r="C630" s="4">
        <v>31</v>
      </c>
      <c r="D630" s="8">
        <v>19.02</v>
      </c>
      <c r="E630" s="4">
        <v>22</v>
      </c>
      <c r="F630" s="8">
        <v>23.91</v>
      </c>
      <c r="G630" s="4">
        <v>9</v>
      </c>
      <c r="H630" s="8">
        <v>14.29</v>
      </c>
      <c r="I630" s="4">
        <v>0</v>
      </c>
    </row>
    <row r="631" spans="1:9" x14ac:dyDescent="0.2">
      <c r="A631" s="2">
        <v>2</v>
      </c>
      <c r="B631" s="1" t="s">
        <v>81</v>
      </c>
      <c r="C631" s="4">
        <v>19</v>
      </c>
      <c r="D631" s="8">
        <v>11.66</v>
      </c>
      <c r="E631" s="4">
        <v>12</v>
      </c>
      <c r="F631" s="8">
        <v>13.04</v>
      </c>
      <c r="G631" s="4">
        <v>7</v>
      </c>
      <c r="H631" s="8">
        <v>11.11</v>
      </c>
      <c r="I631" s="4">
        <v>0</v>
      </c>
    </row>
    <row r="632" spans="1:9" x14ac:dyDescent="0.2">
      <c r="A632" s="2">
        <v>3</v>
      </c>
      <c r="B632" s="1" t="s">
        <v>83</v>
      </c>
      <c r="C632" s="4">
        <v>15</v>
      </c>
      <c r="D632" s="8">
        <v>9.1999999999999993</v>
      </c>
      <c r="E632" s="4">
        <v>9</v>
      </c>
      <c r="F632" s="8">
        <v>9.7799999999999994</v>
      </c>
      <c r="G632" s="4">
        <v>6</v>
      </c>
      <c r="H632" s="8">
        <v>9.52</v>
      </c>
      <c r="I632" s="4">
        <v>0</v>
      </c>
    </row>
    <row r="633" spans="1:9" x14ac:dyDescent="0.2">
      <c r="A633" s="2">
        <v>3</v>
      </c>
      <c r="B633" s="1" t="s">
        <v>106</v>
      </c>
      <c r="C633" s="4">
        <v>15</v>
      </c>
      <c r="D633" s="8">
        <v>9.1999999999999993</v>
      </c>
      <c r="E633" s="4">
        <v>7</v>
      </c>
      <c r="F633" s="8">
        <v>7.61</v>
      </c>
      <c r="G633" s="4">
        <v>8</v>
      </c>
      <c r="H633" s="8">
        <v>12.7</v>
      </c>
      <c r="I633" s="4">
        <v>0</v>
      </c>
    </row>
    <row r="634" spans="1:9" x14ac:dyDescent="0.2">
      <c r="A634" s="2">
        <v>5</v>
      </c>
      <c r="B634" s="1" t="s">
        <v>74</v>
      </c>
      <c r="C634" s="4">
        <v>14</v>
      </c>
      <c r="D634" s="8">
        <v>8.59</v>
      </c>
      <c r="E634" s="4">
        <v>6</v>
      </c>
      <c r="F634" s="8">
        <v>6.52</v>
      </c>
      <c r="G634" s="4">
        <v>8</v>
      </c>
      <c r="H634" s="8">
        <v>12.7</v>
      </c>
      <c r="I634" s="4">
        <v>0</v>
      </c>
    </row>
    <row r="635" spans="1:9" x14ac:dyDescent="0.2">
      <c r="A635" s="2">
        <v>6</v>
      </c>
      <c r="B635" s="1" t="s">
        <v>75</v>
      </c>
      <c r="C635" s="4">
        <v>11</v>
      </c>
      <c r="D635" s="8">
        <v>6.75</v>
      </c>
      <c r="E635" s="4">
        <v>9</v>
      </c>
      <c r="F635" s="8">
        <v>9.7799999999999994</v>
      </c>
      <c r="G635" s="4">
        <v>2</v>
      </c>
      <c r="H635" s="8">
        <v>3.17</v>
      </c>
      <c r="I635" s="4">
        <v>0</v>
      </c>
    </row>
    <row r="636" spans="1:9" x14ac:dyDescent="0.2">
      <c r="A636" s="2">
        <v>6</v>
      </c>
      <c r="B636" s="1" t="s">
        <v>89</v>
      </c>
      <c r="C636" s="4">
        <v>11</v>
      </c>
      <c r="D636" s="8">
        <v>6.75</v>
      </c>
      <c r="E636" s="4">
        <v>8</v>
      </c>
      <c r="F636" s="8">
        <v>8.6999999999999993</v>
      </c>
      <c r="G636" s="4">
        <v>2</v>
      </c>
      <c r="H636" s="8">
        <v>3.17</v>
      </c>
      <c r="I636" s="4">
        <v>0</v>
      </c>
    </row>
    <row r="637" spans="1:9" x14ac:dyDescent="0.2">
      <c r="A637" s="2">
        <v>8</v>
      </c>
      <c r="B637" s="1" t="s">
        <v>109</v>
      </c>
      <c r="C637" s="4">
        <v>5</v>
      </c>
      <c r="D637" s="8">
        <v>3.07</v>
      </c>
      <c r="E637" s="4">
        <v>2</v>
      </c>
      <c r="F637" s="8">
        <v>2.17</v>
      </c>
      <c r="G637" s="4">
        <v>3</v>
      </c>
      <c r="H637" s="8">
        <v>4.76</v>
      </c>
      <c r="I637" s="4">
        <v>0</v>
      </c>
    </row>
    <row r="638" spans="1:9" x14ac:dyDescent="0.2">
      <c r="A638" s="2">
        <v>8</v>
      </c>
      <c r="B638" s="1" t="s">
        <v>85</v>
      </c>
      <c r="C638" s="4">
        <v>5</v>
      </c>
      <c r="D638" s="8">
        <v>3.07</v>
      </c>
      <c r="E638" s="4">
        <v>2</v>
      </c>
      <c r="F638" s="8">
        <v>2.17</v>
      </c>
      <c r="G638" s="4">
        <v>2</v>
      </c>
      <c r="H638" s="8">
        <v>3.17</v>
      </c>
      <c r="I638" s="4">
        <v>0</v>
      </c>
    </row>
    <row r="639" spans="1:9" x14ac:dyDescent="0.2">
      <c r="A639" s="2">
        <v>10</v>
      </c>
      <c r="B639" s="1" t="s">
        <v>76</v>
      </c>
      <c r="C639" s="4">
        <v>4</v>
      </c>
      <c r="D639" s="8">
        <v>2.4500000000000002</v>
      </c>
      <c r="E639" s="4">
        <v>3</v>
      </c>
      <c r="F639" s="8">
        <v>3.26</v>
      </c>
      <c r="G639" s="4">
        <v>1</v>
      </c>
      <c r="H639" s="8">
        <v>1.59</v>
      </c>
      <c r="I639" s="4">
        <v>0</v>
      </c>
    </row>
    <row r="640" spans="1:9" x14ac:dyDescent="0.2">
      <c r="A640" s="2">
        <v>10</v>
      </c>
      <c r="B640" s="1" t="s">
        <v>82</v>
      </c>
      <c r="C640" s="4">
        <v>4</v>
      </c>
      <c r="D640" s="8">
        <v>2.4500000000000002</v>
      </c>
      <c r="E640" s="4">
        <v>3</v>
      </c>
      <c r="F640" s="8">
        <v>3.26</v>
      </c>
      <c r="G640" s="4">
        <v>1</v>
      </c>
      <c r="H640" s="8">
        <v>1.59</v>
      </c>
      <c r="I640" s="4">
        <v>0</v>
      </c>
    </row>
    <row r="641" spans="1:9" x14ac:dyDescent="0.2">
      <c r="A641" s="2">
        <v>12</v>
      </c>
      <c r="B641" s="1" t="s">
        <v>93</v>
      </c>
      <c r="C641" s="4">
        <v>3</v>
      </c>
      <c r="D641" s="8">
        <v>1.84</v>
      </c>
      <c r="E641" s="4">
        <v>3</v>
      </c>
      <c r="F641" s="8">
        <v>3.26</v>
      </c>
      <c r="G641" s="4">
        <v>0</v>
      </c>
      <c r="H641" s="8">
        <v>0</v>
      </c>
      <c r="I641" s="4">
        <v>0</v>
      </c>
    </row>
    <row r="642" spans="1:9" x14ac:dyDescent="0.2">
      <c r="A642" s="2">
        <v>13</v>
      </c>
      <c r="B642" s="1" t="s">
        <v>77</v>
      </c>
      <c r="C642" s="4">
        <v>2</v>
      </c>
      <c r="D642" s="8">
        <v>1.23</v>
      </c>
      <c r="E642" s="4">
        <v>0</v>
      </c>
      <c r="F642" s="8">
        <v>0</v>
      </c>
      <c r="G642" s="4">
        <v>2</v>
      </c>
      <c r="H642" s="8">
        <v>3.17</v>
      </c>
      <c r="I642" s="4">
        <v>0</v>
      </c>
    </row>
    <row r="643" spans="1:9" x14ac:dyDescent="0.2">
      <c r="A643" s="2">
        <v>13</v>
      </c>
      <c r="B643" s="1" t="s">
        <v>113</v>
      </c>
      <c r="C643" s="4">
        <v>2</v>
      </c>
      <c r="D643" s="8">
        <v>1.23</v>
      </c>
      <c r="E643" s="4">
        <v>0</v>
      </c>
      <c r="F643" s="8">
        <v>0</v>
      </c>
      <c r="G643" s="4">
        <v>0</v>
      </c>
      <c r="H643" s="8">
        <v>0</v>
      </c>
      <c r="I643" s="4">
        <v>0</v>
      </c>
    </row>
    <row r="644" spans="1:9" x14ac:dyDescent="0.2">
      <c r="A644" s="2">
        <v>13</v>
      </c>
      <c r="B644" s="1" t="s">
        <v>78</v>
      </c>
      <c r="C644" s="4">
        <v>2</v>
      </c>
      <c r="D644" s="8">
        <v>1.23</v>
      </c>
      <c r="E644" s="4">
        <v>1</v>
      </c>
      <c r="F644" s="8">
        <v>1.0900000000000001</v>
      </c>
      <c r="G644" s="4">
        <v>1</v>
      </c>
      <c r="H644" s="8">
        <v>1.59</v>
      </c>
      <c r="I644" s="4">
        <v>0</v>
      </c>
    </row>
    <row r="645" spans="1:9" x14ac:dyDescent="0.2">
      <c r="A645" s="2">
        <v>13</v>
      </c>
      <c r="B645" s="1" t="s">
        <v>80</v>
      </c>
      <c r="C645" s="4">
        <v>2</v>
      </c>
      <c r="D645" s="8">
        <v>1.23</v>
      </c>
      <c r="E645" s="4">
        <v>1</v>
      </c>
      <c r="F645" s="8">
        <v>1.0900000000000001</v>
      </c>
      <c r="G645" s="4">
        <v>1</v>
      </c>
      <c r="H645" s="8">
        <v>1.59</v>
      </c>
      <c r="I645" s="4">
        <v>0</v>
      </c>
    </row>
    <row r="646" spans="1:9" x14ac:dyDescent="0.2">
      <c r="A646" s="2">
        <v>13</v>
      </c>
      <c r="B646" s="1" t="s">
        <v>97</v>
      </c>
      <c r="C646" s="4">
        <v>2</v>
      </c>
      <c r="D646" s="8">
        <v>1.23</v>
      </c>
      <c r="E646" s="4">
        <v>0</v>
      </c>
      <c r="F646" s="8">
        <v>0</v>
      </c>
      <c r="G646" s="4">
        <v>1</v>
      </c>
      <c r="H646" s="8">
        <v>1.59</v>
      </c>
      <c r="I646" s="4">
        <v>0</v>
      </c>
    </row>
    <row r="647" spans="1:9" x14ac:dyDescent="0.2">
      <c r="A647" s="2">
        <v>13</v>
      </c>
      <c r="B647" s="1" t="s">
        <v>118</v>
      </c>
      <c r="C647" s="4">
        <v>2</v>
      </c>
      <c r="D647" s="8">
        <v>1.23</v>
      </c>
      <c r="E647" s="4">
        <v>0</v>
      </c>
      <c r="F647" s="8">
        <v>0</v>
      </c>
      <c r="G647" s="4">
        <v>2</v>
      </c>
      <c r="H647" s="8">
        <v>3.17</v>
      </c>
      <c r="I647" s="4">
        <v>0</v>
      </c>
    </row>
    <row r="648" spans="1:9" x14ac:dyDescent="0.2">
      <c r="A648" s="2">
        <v>19</v>
      </c>
      <c r="B648" s="1" t="s">
        <v>103</v>
      </c>
      <c r="C648" s="4">
        <v>1</v>
      </c>
      <c r="D648" s="8">
        <v>0.61</v>
      </c>
      <c r="E648" s="4">
        <v>0</v>
      </c>
      <c r="F648" s="8">
        <v>0</v>
      </c>
      <c r="G648" s="4">
        <v>1</v>
      </c>
      <c r="H648" s="8">
        <v>1.59</v>
      </c>
      <c r="I648" s="4">
        <v>0</v>
      </c>
    </row>
    <row r="649" spans="1:9" x14ac:dyDescent="0.2">
      <c r="A649" s="2">
        <v>19</v>
      </c>
      <c r="B649" s="1" t="s">
        <v>110</v>
      </c>
      <c r="C649" s="4">
        <v>1</v>
      </c>
      <c r="D649" s="8">
        <v>0.61</v>
      </c>
      <c r="E649" s="4">
        <v>0</v>
      </c>
      <c r="F649" s="8">
        <v>0</v>
      </c>
      <c r="G649" s="4">
        <v>1</v>
      </c>
      <c r="H649" s="8">
        <v>1.59</v>
      </c>
      <c r="I649" s="4">
        <v>0</v>
      </c>
    </row>
    <row r="650" spans="1:9" x14ac:dyDescent="0.2">
      <c r="A650" s="2">
        <v>19</v>
      </c>
      <c r="B650" s="1" t="s">
        <v>121</v>
      </c>
      <c r="C650" s="4">
        <v>1</v>
      </c>
      <c r="D650" s="8">
        <v>0.61</v>
      </c>
      <c r="E650" s="4">
        <v>0</v>
      </c>
      <c r="F650" s="8">
        <v>0</v>
      </c>
      <c r="G650" s="4">
        <v>1</v>
      </c>
      <c r="H650" s="8">
        <v>1.59</v>
      </c>
      <c r="I650" s="4">
        <v>0</v>
      </c>
    </row>
    <row r="651" spans="1:9" x14ac:dyDescent="0.2">
      <c r="A651" s="2">
        <v>19</v>
      </c>
      <c r="B651" s="1" t="s">
        <v>111</v>
      </c>
      <c r="C651" s="4">
        <v>1</v>
      </c>
      <c r="D651" s="8">
        <v>0.61</v>
      </c>
      <c r="E651" s="4">
        <v>0</v>
      </c>
      <c r="F651" s="8">
        <v>0</v>
      </c>
      <c r="G651" s="4">
        <v>1</v>
      </c>
      <c r="H651" s="8">
        <v>1.59</v>
      </c>
      <c r="I651" s="4">
        <v>0</v>
      </c>
    </row>
    <row r="652" spans="1:9" x14ac:dyDescent="0.2">
      <c r="A652" s="2">
        <v>19</v>
      </c>
      <c r="B652" s="1" t="s">
        <v>122</v>
      </c>
      <c r="C652" s="4">
        <v>1</v>
      </c>
      <c r="D652" s="8">
        <v>0.61</v>
      </c>
      <c r="E652" s="4">
        <v>0</v>
      </c>
      <c r="F652" s="8">
        <v>0</v>
      </c>
      <c r="G652" s="4">
        <v>0</v>
      </c>
      <c r="H652" s="8">
        <v>0</v>
      </c>
      <c r="I652" s="4">
        <v>0</v>
      </c>
    </row>
    <row r="653" spans="1:9" x14ac:dyDescent="0.2">
      <c r="A653" s="2">
        <v>19</v>
      </c>
      <c r="B653" s="1" t="s">
        <v>123</v>
      </c>
      <c r="C653" s="4">
        <v>1</v>
      </c>
      <c r="D653" s="8">
        <v>0.61</v>
      </c>
      <c r="E653" s="4">
        <v>0</v>
      </c>
      <c r="F653" s="8">
        <v>0</v>
      </c>
      <c r="G653" s="4">
        <v>1</v>
      </c>
      <c r="H653" s="8">
        <v>1.59</v>
      </c>
      <c r="I653" s="4">
        <v>0</v>
      </c>
    </row>
    <row r="654" spans="1:9" x14ac:dyDescent="0.2">
      <c r="A654" s="2">
        <v>19</v>
      </c>
      <c r="B654" s="1" t="s">
        <v>84</v>
      </c>
      <c r="C654" s="4">
        <v>1</v>
      </c>
      <c r="D654" s="8">
        <v>0.61</v>
      </c>
      <c r="E654" s="4">
        <v>0</v>
      </c>
      <c r="F654" s="8">
        <v>0</v>
      </c>
      <c r="G654" s="4">
        <v>1</v>
      </c>
      <c r="H654" s="8">
        <v>1.59</v>
      </c>
      <c r="I654" s="4">
        <v>0</v>
      </c>
    </row>
    <row r="655" spans="1:9" x14ac:dyDescent="0.2">
      <c r="A655" s="2">
        <v>19</v>
      </c>
      <c r="B655" s="1" t="s">
        <v>117</v>
      </c>
      <c r="C655" s="4">
        <v>1</v>
      </c>
      <c r="D655" s="8">
        <v>0.61</v>
      </c>
      <c r="E655" s="4">
        <v>0</v>
      </c>
      <c r="F655" s="8">
        <v>0</v>
      </c>
      <c r="G655" s="4">
        <v>1</v>
      </c>
      <c r="H655" s="8">
        <v>1.59</v>
      </c>
      <c r="I655" s="4">
        <v>0</v>
      </c>
    </row>
    <row r="656" spans="1:9" x14ac:dyDescent="0.2">
      <c r="A656" s="2">
        <v>19</v>
      </c>
      <c r="B656" s="1" t="s">
        <v>87</v>
      </c>
      <c r="C656" s="4">
        <v>1</v>
      </c>
      <c r="D656" s="8">
        <v>0.61</v>
      </c>
      <c r="E656" s="4">
        <v>1</v>
      </c>
      <c r="F656" s="8">
        <v>1.0900000000000001</v>
      </c>
      <c r="G656" s="4">
        <v>0</v>
      </c>
      <c r="H656" s="8">
        <v>0</v>
      </c>
      <c r="I656" s="4">
        <v>0</v>
      </c>
    </row>
    <row r="657" spans="1:9" x14ac:dyDescent="0.2">
      <c r="A657" s="2">
        <v>19</v>
      </c>
      <c r="B657" s="1" t="s">
        <v>100</v>
      </c>
      <c r="C657" s="4">
        <v>1</v>
      </c>
      <c r="D657" s="8">
        <v>0.61</v>
      </c>
      <c r="E657" s="4">
        <v>1</v>
      </c>
      <c r="F657" s="8">
        <v>1.0900000000000001</v>
      </c>
      <c r="G657" s="4">
        <v>0</v>
      </c>
      <c r="H657" s="8">
        <v>0</v>
      </c>
      <c r="I657" s="4">
        <v>0</v>
      </c>
    </row>
    <row r="658" spans="1:9" x14ac:dyDescent="0.2">
      <c r="A658" s="2">
        <v>19</v>
      </c>
      <c r="B658" s="1" t="s">
        <v>90</v>
      </c>
      <c r="C658" s="4">
        <v>1</v>
      </c>
      <c r="D658" s="8">
        <v>0.61</v>
      </c>
      <c r="E658" s="4">
        <v>1</v>
      </c>
      <c r="F658" s="8">
        <v>1.0900000000000001</v>
      </c>
      <c r="G658" s="4">
        <v>0</v>
      </c>
      <c r="H658" s="8">
        <v>0</v>
      </c>
      <c r="I658" s="4">
        <v>0</v>
      </c>
    </row>
    <row r="659" spans="1:9" x14ac:dyDescent="0.2">
      <c r="A659" s="2">
        <v>19</v>
      </c>
      <c r="B659" s="1" t="s">
        <v>91</v>
      </c>
      <c r="C659" s="4">
        <v>1</v>
      </c>
      <c r="D659" s="8">
        <v>0.61</v>
      </c>
      <c r="E659" s="4">
        <v>1</v>
      </c>
      <c r="F659" s="8">
        <v>1.0900000000000001</v>
      </c>
      <c r="G659" s="4">
        <v>0</v>
      </c>
      <c r="H659" s="8">
        <v>0</v>
      </c>
      <c r="I659" s="4">
        <v>0</v>
      </c>
    </row>
    <row r="660" spans="1:9" x14ac:dyDescent="0.2">
      <c r="A660" s="2">
        <v>19</v>
      </c>
      <c r="B660" s="1" t="s">
        <v>92</v>
      </c>
      <c r="C660" s="4">
        <v>1</v>
      </c>
      <c r="D660" s="8">
        <v>0.61</v>
      </c>
      <c r="E660" s="4">
        <v>0</v>
      </c>
      <c r="F660" s="8">
        <v>0</v>
      </c>
      <c r="G660" s="4">
        <v>0</v>
      </c>
      <c r="H660" s="8">
        <v>0</v>
      </c>
      <c r="I660" s="4">
        <v>0</v>
      </c>
    </row>
    <row r="661" spans="1:9" x14ac:dyDescent="0.2">
      <c r="A661" s="2">
        <v>19</v>
      </c>
      <c r="B661" s="1" t="s">
        <v>120</v>
      </c>
      <c r="C661" s="4">
        <v>1</v>
      </c>
      <c r="D661" s="8">
        <v>0.61</v>
      </c>
      <c r="E661" s="4">
        <v>0</v>
      </c>
      <c r="F661" s="8">
        <v>0</v>
      </c>
      <c r="G661" s="4">
        <v>0</v>
      </c>
      <c r="H661" s="8">
        <v>0</v>
      </c>
      <c r="I661" s="4">
        <v>0</v>
      </c>
    </row>
    <row r="662" spans="1:9" x14ac:dyDescent="0.2">
      <c r="A662" s="1"/>
      <c r="C662" s="4"/>
      <c r="D662" s="8"/>
      <c r="E662" s="4"/>
      <c r="F662" s="8"/>
      <c r="G662" s="4"/>
      <c r="H662" s="8"/>
      <c r="I662" s="4"/>
    </row>
    <row r="663" spans="1:9" x14ac:dyDescent="0.2">
      <c r="A663" s="1" t="s">
        <v>28</v>
      </c>
      <c r="C663" s="4"/>
      <c r="D663" s="8"/>
      <c r="E663" s="4"/>
      <c r="F663" s="8"/>
      <c r="G663" s="4"/>
      <c r="H663" s="8"/>
      <c r="I663" s="4"/>
    </row>
    <row r="664" spans="1:9" x14ac:dyDescent="0.2">
      <c r="A664" s="2">
        <v>1</v>
      </c>
      <c r="B664" s="1" t="s">
        <v>88</v>
      </c>
      <c r="C664" s="4">
        <v>48</v>
      </c>
      <c r="D664" s="8">
        <v>15.69</v>
      </c>
      <c r="E664" s="4">
        <v>42</v>
      </c>
      <c r="F664" s="8">
        <v>22.22</v>
      </c>
      <c r="G664" s="4">
        <v>6</v>
      </c>
      <c r="H664" s="8">
        <v>5.56</v>
      </c>
      <c r="I664" s="4">
        <v>0</v>
      </c>
    </row>
    <row r="665" spans="1:9" x14ac:dyDescent="0.2">
      <c r="A665" s="2">
        <v>2</v>
      </c>
      <c r="B665" s="1" t="s">
        <v>83</v>
      </c>
      <c r="C665" s="4">
        <v>26</v>
      </c>
      <c r="D665" s="8">
        <v>8.5</v>
      </c>
      <c r="E665" s="4">
        <v>13</v>
      </c>
      <c r="F665" s="8">
        <v>6.88</v>
      </c>
      <c r="G665" s="4">
        <v>13</v>
      </c>
      <c r="H665" s="8">
        <v>12.04</v>
      </c>
      <c r="I665" s="4">
        <v>0</v>
      </c>
    </row>
    <row r="666" spans="1:9" x14ac:dyDescent="0.2">
      <c r="A666" s="2">
        <v>2</v>
      </c>
      <c r="B666" s="1" t="s">
        <v>89</v>
      </c>
      <c r="C666" s="4">
        <v>26</v>
      </c>
      <c r="D666" s="8">
        <v>8.5</v>
      </c>
      <c r="E666" s="4">
        <v>24</v>
      </c>
      <c r="F666" s="8">
        <v>12.7</v>
      </c>
      <c r="G666" s="4">
        <v>1</v>
      </c>
      <c r="H666" s="8">
        <v>0.93</v>
      </c>
      <c r="I666" s="4">
        <v>1</v>
      </c>
    </row>
    <row r="667" spans="1:9" x14ac:dyDescent="0.2">
      <c r="A667" s="2">
        <v>4</v>
      </c>
      <c r="B667" s="1" t="s">
        <v>74</v>
      </c>
      <c r="C667" s="4">
        <v>25</v>
      </c>
      <c r="D667" s="8">
        <v>8.17</v>
      </c>
      <c r="E667" s="4">
        <v>11</v>
      </c>
      <c r="F667" s="8">
        <v>5.82</v>
      </c>
      <c r="G667" s="4">
        <v>14</v>
      </c>
      <c r="H667" s="8">
        <v>12.96</v>
      </c>
      <c r="I667" s="4">
        <v>0</v>
      </c>
    </row>
    <row r="668" spans="1:9" x14ac:dyDescent="0.2">
      <c r="A668" s="2">
        <v>5</v>
      </c>
      <c r="B668" s="1" t="s">
        <v>81</v>
      </c>
      <c r="C668" s="4">
        <v>23</v>
      </c>
      <c r="D668" s="8">
        <v>7.52</v>
      </c>
      <c r="E668" s="4">
        <v>16</v>
      </c>
      <c r="F668" s="8">
        <v>8.4700000000000006</v>
      </c>
      <c r="G668" s="4">
        <v>6</v>
      </c>
      <c r="H668" s="8">
        <v>5.56</v>
      </c>
      <c r="I668" s="4">
        <v>0</v>
      </c>
    </row>
    <row r="669" spans="1:9" x14ac:dyDescent="0.2">
      <c r="A669" s="2">
        <v>6</v>
      </c>
      <c r="B669" s="1" t="s">
        <v>85</v>
      </c>
      <c r="C669" s="4">
        <v>18</v>
      </c>
      <c r="D669" s="8">
        <v>5.88</v>
      </c>
      <c r="E669" s="4">
        <v>12</v>
      </c>
      <c r="F669" s="8">
        <v>6.35</v>
      </c>
      <c r="G669" s="4">
        <v>6</v>
      </c>
      <c r="H669" s="8">
        <v>5.56</v>
      </c>
      <c r="I669" s="4">
        <v>0</v>
      </c>
    </row>
    <row r="670" spans="1:9" x14ac:dyDescent="0.2">
      <c r="A670" s="2">
        <v>7</v>
      </c>
      <c r="B670" s="1" t="s">
        <v>106</v>
      </c>
      <c r="C670" s="4">
        <v>16</v>
      </c>
      <c r="D670" s="8">
        <v>5.23</v>
      </c>
      <c r="E670" s="4">
        <v>8</v>
      </c>
      <c r="F670" s="8">
        <v>4.2300000000000004</v>
      </c>
      <c r="G670" s="4">
        <v>8</v>
      </c>
      <c r="H670" s="8">
        <v>7.41</v>
      </c>
      <c r="I670" s="4">
        <v>0</v>
      </c>
    </row>
    <row r="671" spans="1:9" x14ac:dyDescent="0.2">
      <c r="A671" s="2">
        <v>8</v>
      </c>
      <c r="B671" s="1" t="s">
        <v>75</v>
      </c>
      <c r="C671" s="4">
        <v>14</v>
      </c>
      <c r="D671" s="8">
        <v>4.58</v>
      </c>
      <c r="E671" s="4">
        <v>10</v>
      </c>
      <c r="F671" s="8">
        <v>5.29</v>
      </c>
      <c r="G671" s="4">
        <v>4</v>
      </c>
      <c r="H671" s="8">
        <v>3.7</v>
      </c>
      <c r="I671" s="4">
        <v>0</v>
      </c>
    </row>
    <row r="672" spans="1:9" x14ac:dyDescent="0.2">
      <c r="A672" s="2">
        <v>9</v>
      </c>
      <c r="B672" s="1" t="s">
        <v>82</v>
      </c>
      <c r="C672" s="4">
        <v>12</v>
      </c>
      <c r="D672" s="8">
        <v>3.92</v>
      </c>
      <c r="E672" s="4">
        <v>9</v>
      </c>
      <c r="F672" s="8">
        <v>4.76</v>
      </c>
      <c r="G672" s="4">
        <v>3</v>
      </c>
      <c r="H672" s="8">
        <v>2.78</v>
      </c>
      <c r="I672" s="4">
        <v>0</v>
      </c>
    </row>
    <row r="673" spans="1:9" x14ac:dyDescent="0.2">
      <c r="A673" s="2">
        <v>10</v>
      </c>
      <c r="B673" s="1" t="s">
        <v>76</v>
      </c>
      <c r="C673" s="4">
        <v>10</v>
      </c>
      <c r="D673" s="8">
        <v>3.27</v>
      </c>
      <c r="E673" s="4">
        <v>8</v>
      </c>
      <c r="F673" s="8">
        <v>4.2300000000000004</v>
      </c>
      <c r="G673" s="4">
        <v>2</v>
      </c>
      <c r="H673" s="8">
        <v>1.85</v>
      </c>
      <c r="I673" s="4">
        <v>0</v>
      </c>
    </row>
    <row r="674" spans="1:9" x14ac:dyDescent="0.2">
      <c r="A674" s="2">
        <v>11</v>
      </c>
      <c r="B674" s="1" t="s">
        <v>77</v>
      </c>
      <c r="C674" s="4">
        <v>8</v>
      </c>
      <c r="D674" s="8">
        <v>2.61</v>
      </c>
      <c r="E674" s="4">
        <v>3</v>
      </c>
      <c r="F674" s="8">
        <v>1.59</v>
      </c>
      <c r="G674" s="4">
        <v>5</v>
      </c>
      <c r="H674" s="8">
        <v>4.63</v>
      </c>
      <c r="I674" s="4">
        <v>0</v>
      </c>
    </row>
    <row r="675" spans="1:9" x14ac:dyDescent="0.2">
      <c r="A675" s="2">
        <v>11</v>
      </c>
      <c r="B675" s="1" t="s">
        <v>109</v>
      </c>
      <c r="C675" s="4">
        <v>8</v>
      </c>
      <c r="D675" s="8">
        <v>2.61</v>
      </c>
      <c r="E675" s="4">
        <v>4</v>
      </c>
      <c r="F675" s="8">
        <v>2.12</v>
      </c>
      <c r="G675" s="4">
        <v>4</v>
      </c>
      <c r="H675" s="8">
        <v>3.7</v>
      </c>
      <c r="I675" s="4">
        <v>0</v>
      </c>
    </row>
    <row r="676" spans="1:9" x14ac:dyDescent="0.2">
      <c r="A676" s="2">
        <v>11</v>
      </c>
      <c r="B676" s="1" t="s">
        <v>78</v>
      </c>
      <c r="C676" s="4">
        <v>8</v>
      </c>
      <c r="D676" s="8">
        <v>2.61</v>
      </c>
      <c r="E676" s="4">
        <v>2</v>
      </c>
      <c r="F676" s="8">
        <v>1.06</v>
      </c>
      <c r="G676" s="4">
        <v>6</v>
      </c>
      <c r="H676" s="8">
        <v>5.56</v>
      </c>
      <c r="I676" s="4">
        <v>0</v>
      </c>
    </row>
    <row r="677" spans="1:9" x14ac:dyDescent="0.2">
      <c r="A677" s="2">
        <v>14</v>
      </c>
      <c r="B677" s="1" t="s">
        <v>110</v>
      </c>
      <c r="C677" s="4">
        <v>6</v>
      </c>
      <c r="D677" s="8">
        <v>1.96</v>
      </c>
      <c r="E677" s="4">
        <v>3</v>
      </c>
      <c r="F677" s="8">
        <v>1.59</v>
      </c>
      <c r="G677" s="4">
        <v>3</v>
      </c>
      <c r="H677" s="8">
        <v>2.78</v>
      </c>
      <c r="I677" s="4">
        <v>0</v>
      </c>
    </row>
    <row r="678" spans="1:9" x14ac:dyDescent="0.2">
      <c r="A678" s="2">
        <v>14</v>
      </c>
      <c r="B678" s="1" t="s">
        <v>91</v>
      </c>
      <c r="C678" s="4">
        <v>6</v>
      </c>
      <c r="D678" s="8">
        <v>1.96</v>
      </c>
      <c r="E678" s="4">
        <v>5</v>
      </c>
      <c r="F678" s="8">
        <v>2.65</v>
      </c>
      <c r="G678" s="4">
        <v>0</v>
      </c>
      <c r="H678" s="8">
        <v>0</v>
      </c>
      <c r="I678" s="4">
        <v>0</v>
      </c>
    </row>
    <row r="679" spans="1:9" x14ac:dyDescent="0.2">
      <c r="A679" s="2">
        <v>16</v>
      </c>
      <c r="B679" s="1" t="s">
        <v>97</v>
      </c>
      <c r="C679" s="4">
        <v>5</v>
      </c>
      <c r="D679" s="8">
        <v>1.63</v>
      </c>
      <c r="E679" s="4">
        <v>2</v>
      </c>
      <c r="F679" s="8">
        <v>1.06</v>
      </c>
      <c r="G679" s="4">
        <v>3</v>
      </c>
      <c r="H679" s="8">
        <v>2.78</v>
      </c>
      <c r="I679" s="4">
        <v>0</v>
      </c>
    </row>
    <row r="680" spans="1:9" x14ac:dyDescent="0.2">
      <c r="A680" s="2">
        <v>17</v>
      </c>
      <c r="B680" s="1" t="s">
        <v>90</v>
      </c>
      <c r="C680" s="4">
        <v>4</v>
      </c>
      <c r="D680" s="8">
        <v>1.31</v>
      </c>
      <c r="E680" s="4">
        <v>2</v>
      </c>
      <c r="F680" s="8">
        <v>1.06</v>
      </c>
      <c r="G680" s="4">
        <v>1</v>
      </c>
      <c r="H680" s="8">
        <v>0.93</v>
      </c>
      <c r="I680" s="4">
        <v>0</v>
      </c>
    </row>
    <row r="681" spans="1:9" x14ac:dyDescent="0.2">
      <c r="A681" s="2">
        <v>18</v>
      </c>
      <c r="B681" s="1" t="s">
        <v>114</v>
      </c>
      <c r="C681" s="4">
        <v>3</v>
      </c>
      <c r="D681" s="8">
        <v>0.98</v>
      </c>
      <c r="E681" s="4">
        <v>1</v>
      </c>
      <c r="F681" s="8">
        <v>0.53</v>
      </c>
      <c r="G681" s="4">
        <v>2</v>
      </c>
      <c r="H681" s="8">
        <v>1.85</v>
      </c>
      <c r="I681" s="4">
        <v>0</v>
      </c>
    </row>
    <row r="682" spans="1:9" x14ac:dyDescent="0.2">
      <c r="A682" s="2">
        <v>18</v>
      </c>
      <c r="B682" s="1" t="s">
        <v>80</v>
      </c>
      <c r="C682" s="4">
        <v>3</v>
      </c>
      <c r="D682" s="8">
        <v>0.98</v>
      </c>
      <c r="E682" s="4">
        <v>1</v>
      </c>
      <c r="F682" s="8">
        <v>0.53</v>
      </c>
      <c r="G682" s="4">
        <v>2</v>
      </c>
      <c r="H682" s="8">
        <v>1.85</v>
      </c>
      <c r="I682" s="4">
        <v>0</v>
      </c>
    </row>
    <row r="683" spans="1:9" x14ac:dyDescent="0.2">
      <c r="A683" s="2">
        <v>18</v>
      </c>
      <c r="B683" s="1" t="s">
        <v>86</v>
      </c>
      <c r="C683" s="4">
        <v>3</v>
      </c>
      <c r="D683" s="8">
        <v>0.98</v>
      </c>
      <c r="E683" s="4">
        <v>3</v>
      </c>
      <c r="F683" s="8">
        <v>1.59</v>
      </c>
      <c r="G683" s="4">
        <v>0</v>
      </c>
      <c r="H683" s="8">
        <v>0</v>
      </c>
      <c r="I683" s="4">
        <v>0</v>
      </c>
    </row>
    <row r="684" spans="1:9" x14ac:dyDescent="0.2">
      <c r="A684" s="2">
        <v>18</v>
      </c>
      <c r="B684" s="1" t="s">
        <v>87</v>
      </c>
      <c r="C684" s="4">
        <v>3</v>
      </c>
      <c r="D684" s="8">
        <v>0.98</v>
      </c>
      <c r="E684" s="4">
        <v>2</v>
      </c>
      <c r="F684" s="8">
        <v>1.06</v>
      </c>
      <c r="G684" s="4">
        <v>1</v>
      </c>
      <c r="H684" s="8">
        <v>0.93</v>
      </c>
      <c r="I684" s="4">
        <v>0</v>
      </c>
    </row>
    <row r="685" spans="1:9" x14ac:dyDescent="0.2">
      <c r="A685" s="2">
        <v>18</v>
      </c>
      <c r="B685" s="1" t="s">
        <v>93</v>
      </c>
      <c r="C685" s="4">
        <v>3</v>
      </c>
      <c r="D685" s="8">
        <v>0.98</v>
      </c>
      <c r="E685" s="4">
        <v>2</v>
      </c>
      <c r="F685" s="8">
        <v>1.06</v>
      </c>
      <c r="G685" s="4">
        <v>1</v>
      </c>
      <c r="H685" s="8">
        <v>0.93</v>
      </c>
      <c r="I685" s="4">
        <v>0</v>
      </c>
    </row>
    <row r="686" spans="1:9" x14ac:dyDescent="0.2">
      <c r="A686" s="2">
        <v>18</v>
      </c>
      <c r="B686" s="1" t="s">
        <v>95</v>
      </c>
      <c r="C686" s="4">
        <v>3</v>
      </c>
      <c r="D686" s="8">
        <v>0.98</v>
      </c>
      <c r="E686" s="4">
        <v>0</v>
      </c>
      <c r="F686" s="8">
        <v>0</v>
      </c>
      <c r="G686" s="4">
        <v>2</v>
      </c>
      <c r="H686" s="8">
        <v>1.85</v>
      </c>
      <c r="I686" s="4">
        <v>1</v>
      </c>
    </row>
    <row r="687" spans="1:9" x14ac:dyDescent="0.2">
      <c r="A687" s="1"/>
      <c r="C687" s="4"/>
      <c r="D687" s="8"/>
      <c r="E687" s="4"/>
      <c r="F687" s="8"/>
      <c r="G687" s="4"/>
      <c r="H687" s="8"/>
      <c r="I687" s="4"/>
    </row>
    <row r="688" spans="1:9" x14ac:dyDescent="0.2">
      <c r="A688" s="1" t="s">
        <v>29</v>
      </c>
      <c r="C688" s="4"/>
      <c r="D688" s="8"/>
      <c r="E688" s="4"/>
      <c r="F688" s="8"/>
      <c r="G688" s="4"/>
      <c r="H688" s="8"/>
      <c r="I688" s="4"/>
    </row>
    <row r="689" spans="1:9" x14ac:dyDescent="0.2">
      <c r="A689" s="2">
        <v>1</v>
      </c>
      <c r="B689" s="1" t="s">
        <v>81</v>
      </c>
      <c r="C689" s="4">
        <v>6</v>
      </c>
      <c r="D689" s="8">
        <v>13.04</v>
      </c>
      <c r="E689" s="4">
        <v>6</v>
      </c>
      <c r="F689" s="8">
        <v>26.09</v>
      </c>
      <c r="G689" s="4">
        <v>0</v>
      </c>
      <c r="H689" s="8">
        <v>0</v>
      </c>
      <c r="I689" s="4">
        <v>0</v>
      </c>
    </row>
    <row r="690" spans="1:9" x14ac:dyDescent="0.2">
      <c r="A690" s="2">
        <v>2</v>
      </c>
      <c r="B690" s="1" t="s">
        <v>74</v>
      </c>
      <c r="C690" s="4">
        <v>5</v>
      </c>
      <c r="D690" s="8">
        <v>10.87</v>
      </c>
      <c r="E690" s="4">
        <v>1</v>
      </c>
      <c r="F690" s="8">
        <v>4.3499999999999996</v>
      </c>
      <c r="G690" s="4">
        <v>4</v>
      </c>
      <c r="H690" s="8">
        <v>20</v>
      </c>
      <c r="I690" s="4">
        <v>0</v>
      </c>
    </row>
    <row r="691" spans="1:9" x14ac:dyDescent="0.2">
      <c r="A691" s="2">
        <v>2</v>
      </c>
      <c r="B691" s="1" t="s">
        <v>83</v>
      </c>
      <c r="C691" s="4">
        <v>5</v>
      </c>
      <c r="D691" s="8">
        <v>10.87</v>
      </c>
      <c r="E691" s="4">
        <v>3</v>
      </c>
      <c r="F691" s="8">
        <v>13.04</v>
      </c>
      <c r="G691" s="4">
        <v>2</v>
      </c>
      <c r="H691" s="8">
        <v>10</v>
      </c>
      <c r="I691" s="4">
        <v>0</v>
      </c>
    </row>
    <row r="692" spans="1:9" x14ac:dyDescent="0.2">
      <c r="A692" s="2">
        <v>2</v>
      </c>
      <c r="B692" s="1" t="s">
        <v>106</v>
      </c>
      <c r="C692" s="4">
        <v>5</v>
      </c>
      <c r="D692" s="8">
        <v>10.87</v>
      </c>
      <c r="E692" s="4">
        <v>2</v>
      </c>
      <c r="F692" s="8">
        <v>8.6999999999999993</v>
      </c>
      <c r="G692" s="4">
        <v>3</v>
      </c>
      <c r="H692" s="8">
        <v>15</v>
      </c>
      <c r="I692" s="4">
        <v>0</v>
      </c>
    </row>
    <row r="693" spans="1:9" x14ac:dyDescent="0.2">
      <c r="A693" s="2">
        <v>5</v>
      </c>
      <c r="B693" s="1" t="s">
        <v>92</v>
      </c>
      <c r="C693" s="4">
        <v>4</v>
      </c>
      <c r="D693" s="8">
        <v>8.6999999999999993</v>
      </c>
      <c r="E693" s="4">
        <v>0</v>
      </c>
      <c r="F693" s="8">
        <v>0</v>
      </c>
      <c r="G693" s="4">
        <v>3</v>
      </c>
      <c r="H693" s="8">
        <v>15</v>
      </c>
      <c r="I693" s="4">
        <v>0</v>
      </c>
    </row>
    <row r="694" spans="1:9" x14ac:dyDescent="0.2">
      <c r="A694" s="2">
        <v>6</v>
      </c>
      <c r="B694" s="1" t="s">
        <v>87</v>
      </c>
      <c r="C694" s="4">
        <v>3</v>
      </c>
      <c r="D694" s="8">
        <v>6.52</v>
      </c>
      <c r="E694" s="4">
        <v>2</v>
      </c>
      <c r="F694" s="8">
        <v>8.6999999999999993</v>
      </c>
      <c r="G694" s="4">
        <v>0</v>
      </c>
      <c r="H694" s="8">
        <v>0</v>
      </c>
      <c r="I694" s="4">
        <v>0</v>
      </c>
    </row>
    <row r="695" spans="1:9" x14ac:dyDescent="0.2">
      <c r="A695" s="2">
        <v>6</v>
      </c>
      <c r="B695" s="1" t="s">
        <v>88</v>
      </c>
      <c r="C695" s="4">
        <v>3</v>
      </c>
      <c r="D695" s="8">
        <v>6.52</v>
      </c>
      <c r="E695" s="4">
        <v>3</v>
      </c>
      <c r="F695" s="8">
        <v>13.04</v>
      </c>
      <c r="G695" s="4">
        <v>0</v>
      </c>
      <c r="H695" s="8">
        <v>0</v>
      </c>
      <c r="I695" s="4">
        <v>0</v>
      </c>
    </row>
    <row r="696" spans="1:9" x14ac:dyDescent="0.2">
      <c r="A696" s="2">
        <v>6</v>
      </c>
      <c r="B696" s="1" t="s">
        <v>93</v>
      </c>
      <c r="C696" s="4">
        <v>3</v>
      </c>
      <c r="D696" s="8">
        <v>6.52</v>
      </c>
      <c r="E696" s="4">
        <v>3</v>
      </c>
      <c r="F696" s="8">
        <v>13.04</v>
      </c>
      <c r="G696" s="4">
        <v>0</v>
      </c>
      <c r="H696" s="8">
        <v>0</v>
      </c>
      <c r="I696" s="4">
        <v>0</v>
      </c>
    </row>
    <row r="697" spans="1:9" x14ac:dyDescent="0.2">
      <c r="A697" s="2">
        <v>9</v>
      </c>
      <c r="B697" s="1" t="s">
        <v>77</v>
      </c>
      <c r="C697" s="4">
        <v>2</v>
      </c>
      <c r="D697" s="8">
        <v>4.3499999999999996</v>
      </c>
      <c r="E697" s="4">
        <v>1</v>
      </c>
      <c r="F697" s="8">
        <v>4.3499999999999996</v>
      </c>
      <c r="G697" s="4">
        <v>1</v>
      </c>
      <c r="H697" s="8">
        <v>5</v>
      </c>
      <c r="I697" s="4">
        <v>0</v>
      </c>
    </row>
    <row r="698" spans="1:9" x14ac:dyDescent="0.2">
      <c r="A698" s="2">
        <v>10</v>
      </c>
      <c r="B698" s="1" t="s">
        <v>75</v>
      </c>
      <c r="C698" s="4">
        <v>1</v>
      </c>
      <c r="D698" s="8">
        <v>2.17</v>
      </c>
      <c r="E698" s="4">
        <v>0</v>
      </c>
      <c r="F698" s="8">
        <v>0</v>
      </c>
      <c r="G698" s="4">
        <v>1</v>
      </c>
      <c r="H698" s="8">
        <v>5</v>
      </c>
      <c r="I698" s="4">
        <v>0</v>
      </c>
    </row>
    <row r="699" spans="1:9" x14ac:dyDescent="0.2">
      <c r="A699" s="2">
        <v>10</v>
      </c>
      <c r="B699" s="1" t="s">
        <v>108</v>
      </c>
      <c r="C699" s="4">
        <v>1</v>
      </c>
      <c r="D699" s="8">
        <v>2.17</v>
      </c>
      <c r="E699" s="4">
        <v>0</v>
      </c>
      <c r="F699" s="8">
        <v>0</v>
      </c>
      <c r="G699" s="4">
        <v>1</v>
      </c>
      <c r="H699" s="8">
        <v>5</v>
      </c>
      <c r="I699" s="4">
        <v>0</v>
      </c>
    </row>
    <row r="700" spans="1:9" x14ac:dyDescent="0.2">
      <c r="A700" s="2">
        <v>10</v>
      </c>
      <c r="B700" s="1" t="s">
        <v>112</v>
      </c>
      <c r="C700" s="4">
        <v>1</v>
      </c>
      <c r="D700" s="8">
        <v>2.17</v>
      </c>
      <c r="E700" s="4">
        <v>0</v>
      </c>
      <c r="F700" s="8">
        <v>0</v>
      </c>
      <c r="G700" s="4">
        <v>1</v>
      </c>
      <c r="H700" s="8">
        <v>5</v>
      </c>
      <c r="I700" s="4">
        <v>0</v>
      </c>
    </row>
    <row r="701" spans="1:9" x14ac:dyDescent="0.2">
      <c r="A701" s="2">
        <v>10</v>
      </c>
      <c r="B701" s="1" t="s">
        <v>124</v>
      </c>
      <c r="C701" s="4">
        <v>1</v>
      </c>
      <c r="D701" s="8">
        <v>2.17</v>
      </c>
      <c r="E701" s="4">
        <v>0</v>
      </c>
      <c r="F701" s="8">
        <v>0</v>
      </c>
      <c r="G701" s="4">
        <v>1</v>
      </c>
      <c r="H701" s="8">
        <v>5</v>
      </c>
      <c r="I701" s="4">
        <v>0</v>
      </c>
    </row>
    <row r="702" spans="1:9" x14ac:dyDescent="0.2">
      <c r="A702" s="2">
        <v>10</v>
      </c>
      <c r="B702" s="1" t="s">
        <v>78</v>
      </c>
      <c r="C702" s="4">
        <v>1</v>
      </c>
      <c r="D702" s="8">
        <v>2.17</v>
      </c>
      <c r="E702" s="4">
        <v>0</v>
      </c>
      <c r="F702" s="8">
        <v>0</v>
      </c>
      <c r="G702" s="4">
        <v>1</v>
      </c>
      <c r="H702" s="8">
        <v>5</v>
      </c>
      <c r="I702" s="4">
        <v>0</v>
      </c>
    </row>
    <row r="703" spans="1:9" x14ac:dyDescent="0.2">
      <c r="A703" s="2">
        <v>10</v>
      </c>
      <c r="B703" s="1" t="s">
        <v>99</v>
      </c>
      <c r="C703" s="4">
        <v>1</v>
      </c>
      <c r="D703" s="8">
        <v>2.17</v>
      </c>
      <c r="E703" s="4">
        <v>0</v>
      </c>
      <c r="F703" s="8">
        <v>0</v>
      </c>
      <c r="G703" s="4">
        <v>1</v>
      </c>
      <c r="H703" s="8">
        <v>5</v>
      </c>
      <c r="I703" s="4">
        <v>0</v>
      </c>
    </row>
    <row r="704" spans="1:9" x14ac:dyDescent="0.2">
      <c r="A704" s="2">
        <v>10</v>
      </c>
      <c r="B704" s="1" t="s">
        <v>101</v>
      </c>
      <c r="C704" s="4">
        <v>1</v>
      </c>
      <c r="D704" s="8">
        <v>2.17</v>
      </c>
      <c r="E704" s="4">
        <v>0</v>
      </c>
      <c r="F704" s="8">
        <v>0</v>
      </c>
      <c r="G704" s="4">
        <v>0</v>
      </c>
      <c r="H704" s="8">
        <v>0</v>
      </c>
      <c r="I704" s="4">
        <v>0</v>
      </c>
    </row>
    <row r="705" spans="1:9" x14ac:dyDescent="0.2">
      <c r="A705" s="2">
        <v>10</v>
      </c>
      <c r="B705" s="1" t="s">
        <v>89</v>
      </c>
      <c r="C705" s="4">
        <v>1</v>
      </c>
      <c r="D705" s="8">
        <v>2.17</v>
      </c>
      <c r="E705" s="4">
        <v>1</v>
      </c>
      <c r="F705" s="8">
        <v>4.3499999999999996</v>
      </c>
      <c r="G705" s="4">
        <v>0</v>
      </c>
      <c r="H705" s="8">
        <v>0</v>
      </c>
      <c r="I705" s="4">
        <v>0</v>
      </c>
    </row>
    <row r="706" spans="1:9" x14ac:dyDescent="0.2">
      <c r="A706" s="2">
        <v>10</v>
      </c>
      <c r="B706" s="1" t="s">
        <v>91</v>
      </c>
      <c r="C706" s="4">
        <v>1</v>
      </c>
      <c r="D706" s="8">
        <v>2.17</v>
      </c>
      <c r="E706" s="4">
        <v>1</v>
      </c>
      <c r="F706" s="8">
        <v>4.3499999999999996</v>
      </c>
      <c r="G706" s="4">
        <v>0</v>
      </c>
      <c r="H706" s="8">
        <v>0</v>
      </c>
      <c r="I706" s="4">
        <v>0</v>
      </c>
    </row>
    <row r="707" spans="1:9" x14ac:dyDescent="0.2">
      <c r="A707" s="2">
        <v>10</v>
      </c>
      <c r="B707" s="1" t="s">
        <v>95</v>
      </c>
      <c r="C707" s="4">
        <v>1</v>
      </c>
      <c r="D707" s="8">
        <v>2.17</v>
      </c>
      <c r="E707" s="4">
        <v>0</v>
      </c>
      <c r="F707" s="8">
        <v>0</v>
      </c>
      <c r="G707" s="4">
        <v>1</v>
      </c>
      <c r="H707" s="8">
        <v>5</v>
      </c>
      <c r="I707" s="4">
        <v>0</v>
      </c>
    </row>
    <row r="708" spans="1:9" x14ac:dyDescent="0.2">
      <c r="A708" s="1"/>
      <c r="C708" s="4"/>
      <c r="D708" s="8"/>
      <c r="E708" s="4"/>
      <c r="F708" s="8"/>
      <c r="G708" s="4"/>
      <c r="H708" s="8"/>
      <c r="I708" s="4"/>
    </row>
    <row r="709" spans="1:9" x14ac:dyDescent="0.2">
      <c r="A709" s="1" t="s">
        <v>30</v>
      </c>
      <c r="C709" s="4"/>
      <c r="D709" s="8"/>
      <c r="E709" s="4"/>
      <c r="F709" s="8"/>
      <c r="G709" s="4"/>
      <c r="H709" s="8"/>
      <c r="I709" s="4"/>
    </row>
    <row r="710" spans="1:9" x14ac:dyDescent="0.2">
      <c r="A710" s="2">
        <v>1</v>
      </c>
      <c r="B710" s="1" t="s">
        <v>88</v>
      </c>
      <c r="C710" s="4">
        <v>23</v>
      </c>
      <c r="D710" s="8">
        <v>11.92</v>
      </c>
      <c r="E710" s="4">
        <v>19</v>
      </c>
      <c r="F710" s="8">
        <v>16.52</v>
      </c>
      <c r="G710" s="4">
        <v>4</v>
      </c>
      <c r="H710" s="8">
        <v>5.56</v>
      </c>
      <c r="I710" s="4">
        <v>0</v>
      </c>
    </row>
    <row r="711" spans="1:9" x14ac:dyDescent="0.2">
      <c r="A711" s="2">
        <v>2</v>
      </c>
      <c r="B711" s="1" t="s">
        <v>74</v>
      </c>
      <c r="C711" s="4">
        <v>21</v>
      </c>
      <c r="D711" s="8">
        <v>10.88</v>
      </c>
      <c r="E711" s="4">
        <v>5</v>
      </c>
      <c r="F711" s="8">
        <v>4.3499999999999996</v>
      </c>
      <c r="G711" s="4">
        <v>16</v>
      </c>
      <c r="H711" s="8">
        <v>22.22</v>
      </c>
      <c r="I711" s="4">
        <v>0</v>
      </c>
    </row>
    <row r="712" spans="1:9" x14ac:dyDescent="0.2">
      <c r="A712" s="2">
        <v>2</v>
      </c>
      <c r="B712" s="1" t="s">
        <v>81</v>
      </c>
      <c r="C712" s="4">
        <v>21</v>
      </c>
      <c r="D712" s="8">
        <v>10.88</v>
      </c>
      <c r="E712" s="4">
        <v>18</v>
      </c>
      <c r="F712" s="8">
        <v>15.65</v>
      </c>
      <c r="G712" s="4">
        <v>3</v>
      </c>
      <c r="H712" s="8">
        <v>4.17</v>
      </c>
      <c r="I712" s="4">
        <v>0</v>
      </c>
    </row>
    <row r="713" spans="1:9" x14ac:dyDescent="0.2">
      <c r="A713" s="2">
        <v>4</v>
      </c>
      <c r="B713" s="1" t="s">
        <v>83</v>
      </c>
      <c r="C713" s="4">
        <v>18</v>
      </c>
      <c r="D713" s="8">
        <v>9.33</v>
      </c>
      <c r="E713" s="4">
        <v>8</v>
      </c>
      <c r="F713" s="8">
        <v>6.96</v>
      </c>
      <c r="G713" s="4">
        <v>10</v>
      </c>
      <c r="H713" s="8">
        <v>13.89</v>
      </c>
      <c r="I713" s="4">
        <v>0</v>
      </c>
    </row>
    <row r="714" spans="1:9" x14ac:dyDescent="0.2">
      <c r="A714" s="2">
        <v>5</v>
      </c>
      <c r="B714" s="1" t="s">
        <v>89</v>
      </c>
      <c r="C714" s="4">
        <v>17</v>
      </c>
      <c r="D714" s="8">
        <v>8.81</v>
      </c>
      <c r="E714" s="4">
        <v>15</v>
      </c>
      <c r="F714" s="8">
        <v>13.04</v>
      </c>
      <c r="G714" s="4">
        <v>2</v>
      </c>
      <c r="H714" s="8">
        <v>2.78</v>
      </c>
      <c r="I714" s="4">
        <v>0</v>
      </c>
    </row>
    <row r="715" spans="1:9" x14ac:dyDescent="0.2">
      <c r="A715" s="2">
        <v>6</v>
      </c>
      <c r="B715" s="1" t="s">
        <v>106</v>
      </c>
      <c r="C715" s="4">
        <v>11</v>
      </c>
      <c r="D715" s="8">
        <v>5.7</v>
      </c>
      <c r="E715" s="4">
        <v>10</v>
      </c>
      <c r="F715" s="8">
        <v>8.6999999999999993</v>
      </c>
      <c r="G715" s="4">
        <v>1</v>
      </c>
      <c r="H715" s="8">
        <v>1.39</v>
      </c>
      <c r="I715" s="4">
        <v>0</v>
      </c>
    </row>
    <row r="716" spans="1:9" x14ac:dyDescent="0.2">
      <c r="A716" s="2">
        <v>7</v>
      </c>
      <c r="B716" s="1" t="s">
        <v>75</v>
      </c>
      <c r="C716" s="4">
        <v>6</v>
      </c>
      <c r="D716" s="8">
        <v>3.11</v>
      </c>
      <c r="E716" s="4">
        <v>4</v>
      </c>
      <c r="F716" s="8">
        <v>3.48</v>
      </c>
      <c r="G716" s="4">
        <v>2</v>
      </c>
      <c r="H716" s="8">
        <v>2.78</v>
      </c>
      <c r="I716" s="4">
        <v>0</v>
      </c>
    </row>
    <row r="717" spans="1:9" x14ac:dyDescent="0.2">
      <c r="A717" s="2">
        <v>7</v>
      </c>
      <c r="B717" s="1" t="s">
        <v>77</v>
      </c>
      <c r="C717" s="4">
        <v>6</v>
      </c>
      <c r="D717" s="8">
        <v>3.11</v>
      </c>
      <c r="E717" s="4">
        <v>4</v>
      </c>
      <c r="F717" s="8">
        <v>3.48</v>
      </c>
      <c r="G717" s="4">
        <v>2</v>
      </c>
      <c r="H717" s="8">
        <v>2.78</v>
      </c>
      <c r="I717" s="4">
        <v>0</v>
      </c>
    </row>
    <row r="718" spans="1:9" x14ac:dyDescent="0.2">
      <c r="A718" s="2">
        <v>9</v>
      </c>
      <c r="B718" s="1" t="s">
        <v>85</v>
      </c>
      <c r="C718" s="4">
        <v>5</v>
      </c>
      <c r="D718" s="8">
        <v>2.59</v>
      </c>
      <c r="E718" s="4">
        <v>1</v>
      </c>
      <c r="F718" s="8">
        <v>0.87</v>
      </c>
      <c r="G718" s="4">
        <v>4</v>
      </c>
      <c r="H718" s="8">
        <v>5.56</v>
      </c>
      <c r="I718" s="4">
        <v>0</v>
      </c>
    </row>
    <row r="719" spans="1:9" x14ac:dyDescent="0.2">
      <c r="A719" s="2">
        <v>9</v>
      </c>
      <c r="B719" s="1" t="s">
        <v>90</v>
      </c>
      <c r="C719" s="4">
        <v>5</v>
      </c>
      <c r="D719" s="8">
        <v>2.59</v>
      </c>
      <c r="E719" s="4">
        <v>4</v>
      </c>
      <c r="F719" s="8">
        <v>3.48</v>
      </c>
      <c r="G719" s="4">
        <v>0</v>
      </c>
      <c r="H719" s="8">
        <v>0</v>
      </c>
      <c r="I719" s="4">
        <v>1</v>
      </c>
    </row>
    <row r="720" spans="1:9" x14ac:dyDescent="0.2">
      <c r="A720" s="2">
        <v>11</v>
      </c>
      <c r="B720" s="1" t="s">
        <v>76</v>
      </c>
      <c r="C720" s="4">
        <v>4</v>
      </c>
      <c r="D720" s="8">
        <v>2.0699999999999998</v>
      </c>
      <c r="E720" s="4">
        <v>0</v>
      </c>
      <c r="F720" s="8">
        <v>0</v>
      </c>
      <c r="G720" s="4">
        <v>4</v>
      </c>
      <c r="H720" s="8">
        <v>5.56</v>
      </c>
      <c r="I720" s="4">
        <v>0</v>
      </c>
    </row>
    <row r="721" spans="1:9" x14ac:dyDescent="0.2">
      <c r="A721" s="2">
        <v>11</v>
      </c>
      <c r="B721" s="1" t="s">
        <v>80</v>
      </c>
      <c r="C721" s="4">
        <v>4</v>
      </c>
      <c r="D721" s="8">
        <v>2.0699999999999998</v>
      </c>
      <c r="E721" s="4">
        <v>4</v>
      </c>
      <c r="F721" s="8">
        <v>3.48</v>
      </c>
      <c r="G721" s="4">
        <v>0</v>
      </c>
      <c r="H721" s="8">
        <v>0</v>
      </c>
      <c r="I721" s="4">
        <v>0</v>
      </c>
    </row>
    <row r="722" spans="1:9" x14ac:dyDescent="0.2">
      <c r="A722" s="2">
        <v>11</v>
      </c>
      <c r="B722" s="1" t="s">
        <v>82</v>
      </c>
      <c r="C722" s="4">
        <v>4</v>
      </c>
      <c r="D722" s="8">
        <v>2.0699999999999998</v>
      </c>
      <c r="E722" s="4">
        <v>3</v>
      </c>
      <c r="F722" s="8">
        <v>2.61</v>
      </c>
      <c r="G722" s="4">
        <v>1</v>
      </c>
      <c r="H722" s="8">
        <v>1.39</v>
      </c>
      <c r="I722" s="4">
        <v>0</v>
      </c>
    </row>
    <row r="723" spans="1:9" x14ac:dyDescent="0.2">
      <c r="A723" s="2">
        <v>11</v>
      </c>
      <c r="B723" s="1" t="s">
        <v>86</v>
      </c>
      <c r="C723" s="4">
        <v>4</v>
      </c>
      <c r="D723" s="8">
        <v>2.0699999999999998</v>
      </c>
      <c r="E723" s="4">
        <v>4</v>
      </c>
      <c r="F723" s="8">
        <v>3.48</v>
      </c>
      <c r="G723" s="4">
        <v>0</v>
      </c>
      <c r="H723" s="8">
        <v>0</v>
      </c>
      <c r="I723" s="4">
        <v>0</v>
      </c>
    </row>
    <row r="724" spans="1:9" x14ac:dyDescent="0.2">
      <c r="A724" s="2">
        <v>11</v>
      </c>
      <c r="B724" s="1" t="s">
        <v>87</v>
      </c>
      <c r="C724" s="4">
        <v>4</v>
      </c>
      <c r="D724" s="8">
        <v>2.0699999999999998</v>
      </c>
      <c r="E724" s="4">
        <v>3</v>
      </c>
      <c r="F724" s="8">
        <v>2.61</v>
      </c>
      <c r="G724" s="4">
        <v>1</v>
      </c>
      <c r="H724" s="8">
        <v>1.39</v>
      </c>
      <c r="I724" s="4">
        <v>0</v>
      </c>
    </row>
    <row r="725" spans="1:9" x14ac:dyDescent="0.2">
      <c r="A725" s="2">
        <v>11</v>
      </c>
      <c r="B725" s="1" t="s">
        <v>91</v>
      </c>
      <c r="C725" s="4">
        <v>4</v>
      </c>
      <c r="D725" s="8">
        <v>2.0699999999999998</v>
      </c>
      <c r="E725" s="4">
        <v>4</v>
      </c>
      <c r="F725" s="8">
        <v>3.48</v>
      </c>
      <c r="G725" s="4">
        <v>0</v>
      </c>
      <c r="H725" s="8">
        <v>0</v>
      </c>
      <c r="I725" s="4">
        <v>0</v>
      </c>
    </row>
    <row r="726" spans="1:9" x14ac:dyDescent="0.2">
      <c r="A726" s="2">
        <v>11</v>
      </c>
      <c r="B726" s="1" t="s">
        <v>92</v>
      </c>
      <c r="C726" s="4">
        <v>4</v>
      </c>
      <c r="D726" s="8">
        <v>2.0699999999999998</v>
      </c>
      <c r="E726" s="4">
        <v>0</v>
      </c>
      <c r="F726" s="8">
        <v>0</v>
      </c>
      <c r="G726" s="4">
        <v>3</v>
      </c>
      <c r="H726" s="8">
        <v>4.17</v>
      </c>
      <c r="I726" s="4">
        <v>0</v>
      </c>
    </row>
    <row r="727" spans="1:9" x14ac:dyDescent="0.2">
      <c r="A727" s="2">
        <v>11</v>
      </c>
      <c r="B727" s="1" t="s">
        <v>93</v>
      </c>
      <c r="C727" s="4">
        <v>4</v>
      </c>
      <c r="D727" s="8">
        <v>2.0699999999999998</v>
      </c>
      <c r="E727" s="4">
        <v>3</v>
      </c>
      <c r="F727" s="8">
        <v>2.61</v>
      </c>
      <c r="G727" s="4">
        <v>1</v>
      </c>
      <c r="H727" s="8">
        <v>1.39</v>
      </c>
      <c r="I727" s="4">
        <v>0</v>
      </c>
    </row>
    <row r="728" spans="1:9" x14ac:dyDescent="0.2">
      <c r="A728" s="2">
        <v>19</v>
      </c>
      <c r="B728" s="1" t="s">
        <v>109</v>
      </c>
      <c r="C728" s="4">
        <v>3</v>
      </c>
      <c r="D728" s="8">
        <v>1.55</v>
      </c>
      <c r="E728" s="4">
        <v>0</v>
      </c>
      <c r="F728" s="8">
        <v>0</v>
      </c>
      <c r="G728" s="4">
        <v>3</v>
      </c>
      <c r="H728" s="8">
        <v>4.17</v>
      </c>
      <c r="I728" s="4">
        <v>0</v>
      </c>
    </row>
    <row r="729" spans="1:9" x14ac:dyDescent="0.2">
      <c r="A729" s="2">
        <v>19</v>
      </c>
      <c r="B729" s="1" t="s">
        <v>78</v>
      </c>
      <c r="C729" s="4">
        <v>3</v>
      </c>
      <c r="D729" s="8">
        <v>1.55</v>
      </c>
      <c r="E729" s="4">
        <v>0</v>
      </c>
      <c r="F729" s="8">
        <v>0</v>
      </c>
      <c r="G729" s="4">
        <v>3</v>
      </c>
      <c r="H729" s="8">
        <v>4.17</v>
      </c>
      <c r="I729" s="4">
        <v>0</v>
      </c>
    </row>
    <row r="730" spans="1:9" x14ac:dyDescent="0.2">
      <c r="A730" s="2">
        <v>19</v>
      </c>
      <c r="B730" s="1" t="s">
        <v>97</v>
      </c>
      <c r="C730" s="4">
        <v>3</v>
      </c>
      <c r="D730" s="8">
        <v>1.55</v>
      </c>
      <c r="E730" s="4">
        <v>1</v>
      </c>
      <c r="F730" s="8">
        <v>0.87</v>
      </c>
      <c r="G730" s="4">
        <v>2</v>
      </c>
      <c r="H730" s="8">
        <v>2.78</v>
      </c>
      <c r="I730" s="4">
        <v>0</v>
      </c>
    </row>
    <row r="731" spans="1:9" x14ac:dyDescent="0.2">
      <c r="A731" s="1"/>
      <c r="C731" s="4"/>
      <c r="D731" s="8"/>
      <c r="E731" s="4"/>
      <c r="F731" s="8"/>
      <c r="G731" s="4"/>
      <c r="H731" s="8"/>
      <c r="I731" s="4"/>
    </row>
    <row r="732" spans="1:9" x14ac:dyDescent="0.2">
      <c r="A732" s="1" t="s">
        <v>31</v>
      </c>
      <c r="C732" s="4"/>
      <c r="D732" s="8"/>
      <c r="E732" s="4"/>
      <c r="F732" s="8"/>
      <c r="G732" s="4"/>
      <c r="H732" s="8"/>
      <c r="I732" s="4"/>
    </row>
    <row r="733" spans="1:9" x14ac:dyDescent="0.2">
      <c r="A733" s="2">
        <v>1</v>
      </c>
      <c r="B733" s="1" t="s">
        <v>88</v>
      </c>
      <c r="C733" s="4">
        <v>28</v>
      </c>
      <c r="D733" s="8">
        <v>15.38</v>
      </c>
      <c r="E733" s="4">
        <v>20</v>
      </c>
      <c r="F733" s="8">
        <v>21.98</v>
      </c>
      <c r="G733" s="4">
        <v>8</v>
      </c>
      <c r="H733" s="8">
        <v>8.89</v>
      </c>
      <c r="I733" s="4">
        <v>0</v>
      </c>
    </row>
    <row r="734" spans="1:9" x14ac:dyDescent="0.2">
      <c r="A734" s="2">
        <v>2</v>
      </c>
      <c r="B734" s="1" t="s">
        <v>74</v>
      </c>
      <c r="C734" s="4">
        <v>25</v>
      </c>
      <c r="D734" s="8">
        <v>13.74</v>
      </c>
      <c r="E734" s="4">
        <v>5</v>
      </c>
      <c r="F734" s="8">
        <v>5.49</v>
      </c>
      <c r="G734" s="4">
        <v>20</v>
      </c>
      <c r="H734" s="8">
        <v>22.22</v>
      </c>
      <c r="I734" s="4">
        <v>0</v>
      </c>
    </row>
    <row r="735" spans="1:9" x14ac:dyDescent="0.2">
      <c r="A735" s="2">
        <v>3</v>
      </c>
      <c r="B735" s="1" t="s">
        <v>83</v>
      </c>
      <c r="C735" s="4">
        <v>17</v>
      </c>
      <c r="D735" s="8">
        <v>9.34</v>
      </c>
      <c r="E735" s="4">
        <v>10</v>
      </c>
      <c r="F735" s="8">
        <v>10.99</v>
      </c>
      <c r="G735" s="4">
        <v>7</v>
      </c>
      <c r="H735" s="8">
        <v>7.78</v>
      </c>
      <c r="I735" s="4">
        <v>0</v>
      </c>
    </row>
    <row r="736" spans="1:9" x14ac:dyDescent="0.2">
      <c r="A736" s="2">
        <v>4</v>
      </c>
      <c r="B736" s="1" t="s">
        <v>89</v>
      </c>
      <c r="C736" s="4">
        <v>13</v>
      </c>
      <c r="D736" s="8">
        <v>7.14</v>
      </c>
      <c r="E736" s="4">
        <v>13</v>
      </c>
      <c r="F736" s="8">
        <v>14.29</v>
      </c>
      <c r="G736" s="4">
        <v>0</v>
      </c>
      <c r="H736" s="8">
        <v>0</v>
      </c>
      <c r="I736" s="4">
        <v>0</v>
      </c>
    </row>
    <row r="737" spans="1:9" x14ac:dyDescent="0.2">
      <c r="A737" s="2">
        <v>5</v>
      </c>
      <c r="B737" s="1" t="s">
        <v>75</v>
      </c>
      <c r="C737" s="4">
        <v>11</v>
      </c>
      <c r="D737" s="8">
        <v>6.04</v>
      </c>
      <c r="E737" s="4">
        <v>7</v>
      </c>
      <c r="F737" s="8">
        <v>7.69</v>
      </c>
      <c r="G737" s="4">
        <v>4</v>
      </c>
      <c r="H737" s="8">
        <v>4.4400000000000004</v>
      </c>
      <c r="I737" s="4">
        <v>0</v>
      </c>
    </row>
    <row r="738" spans="1:9" x14ac:dyDescent="0.2">
      <c r="A738" s="2">
        <v>6</v>
      </c>
      <c r="B738" s="1" t="s">
        <v>81</v>
      </c>
      <c r="C738" s="4">
        <v>8</v>
      </c>
      <c r="D738" s="8">
        <v>4.4000000000000004</v>
      </c>
      <c r="E738" s="4">
        <v>5</v>
      </c>
      <c r="F738" s="8">
        <v>5.49</v>
      </c>
      <c r="G738" s="4">
        <v>3</v>
      </c>
      <c r="H738" s="8">
        <v>3.33</v>
      </c>
      <c r="I738" s="4">
        <v>0</v>
      </c>
    </row>
    <row r="739" spans="1:9" x14ac:dyDescent="0.2">
      <c r="A739" s="2">
        <v>7</v>
      </c>
      <c r="B739" s="1" t="s">
        <v>82</v>
      </c>
      <c r="C739" s="4">
        <v>6</v>
      </c>
      <c r="D739" s="8">
        <v>3.3</v>
      </c>
      <c r="E739" s="4">
        <v>4</v>
      </c>
      <c r="F739" s="8">
        <v>4.4000000000000004</v>
      </c>
      <c r="G739" s="4">
        <v>2</v>
      </c>
      <c r="H739" s="8">
        <v>2.2200000000000002</v>
      </c>
      <c r="I739" s="4">
        <v>0</v>
      </c>
    </row>
    <row r="740" spans="1:9" x14ac:dyDescent="0.2">
      <c r="A740" s="2">
        <v>8</v>
      </c>
      <c r="B740" s="1" t="s">
        <v>77</v>
      </c>
      <c r="C740" s="4">
        <v>5</v>
      </c>
      <c r="D740" s="8">
        <v>2.75</v>
      </c>
      <c r="E740" s="4">
        <v>1</v>
      </c>
      <c r="F740" s="8">
        <v>1.1000000000000001</v>
      </c>
      <c r="G740" s="4">
        <v>4</v>
      </c>
      <c r="H740" s="8">
        <v>4.4400000000000004</v>
      </c>
      <c r="I740" s="4">
        <v>0</v>
      </c>
    </row>
    <row r="741" spans="1:9" x14ac:dyDescent="0.2">
      <c r="A741" s="2">
        <v>8</v>
      </c>
      <c r="B741" s="1" t="s">
        <v>110</v>
      </c>
      <c r="C741" s="4">
        <v>5</v>
      </c>
      <c r="D741" s="8">
        <v>2.75</v>
      </c>
      <c r="E741" s="4">
        <v>2</v>
      </c>
      <c r="F741" s="8">
        <v>2.2000000000000002</v>
      </c>
      <c r="G741" s="4">
        <v>3</v>
      </c>
      <c r="H741" s="8">
        <v>3.33</v>
      </c>
      <c r="I741" s="4">
        <v>0</v>
      </c>
    </row>
    <row r="742" spans="1:9" x14ac:dyDescent="0.2">
      <c r="A742" s="2">
        <v>8</v>
      </c>
      <c r="B742" s="1" t="s">
        <v>102</v>
      </c>
      <c r="C742" s="4">
        <v>5</v>
      </c>
      <c r="D742" s="8">
        <v>2.75</v>
      </c>
      <c r="E742" s="4">
        <v>1</v>
      </c>
      <c r="F742" s="8">
        <v>1.1000000000000001</v>
      </c>
      <c r="G742" s="4">
        <v>4</v>
      </c>
      <c r="H742" s="8">
        <v>4.4400000000000004</v>
      </c>
      <c r="I742" s="4">
        <v>0</v>
      </c>
    </row>
    <row r="743" spans="1:9" x14ac:dyDescent="0.2">
      <c r="A743" s="2">
        <v>11</v>
      </c>
      <c r="B743" s="1" t="s">
        <v>78</v>
      </c>
      <c r="C743" s="4">
        <v>4</v>
      </c>
      <c r="D743" s="8">
        <v>2.2000000000000002</v>
      </c>
      <c r="E743" s="4">
        <v>0</v>
      </c>
      <c r="F743" s="8">
        <v>0</v>
      </c>
      <c r="G743" s="4">
        <v>4</v>
      </c>
      <c r="H743" s="8">
        <v>4.4400000000000004</v>
      </c>
      <c r="I743" s="4">
        <v>0</v>
      </c>
    </row>
    <row r="744" spans="1:9" x14ac:dyDescent="0.2">
      <c r="A744" s="2">
        <v>11</v>
      </c>
      <c r="B744" s="1" t="s">
        <v>80</v>
      </c>
      <c r="C744" s="4">
        <v>4</v>
      </c>
      <c r="D744" s="8">
        <v>2.2000000000000002</v>
      </c>
      <c r="E744" s="4">
        <v>4</v>
      </c>
      <c r="F744" s="8">
        <v>4.4000000000000004</v>
      </c>
      <c r="G744" s="4">
        <v>0</v>
      </c>
      <c r="H744" s="8">
        <v>0</v>
      </c>
      <c r="I744" s="4">
        <v>0</v>
      </c>
    </row>
    <row r="745" spans="1:9" x14ac:dyDescent="0.2">
      <c r="A745" s="2">
        <v>11</v>
      </c>
      <c r="B745" s="1" t="s">
        <v>86</v>
      </c>
      <c r="C745" s="4">
        <v>4</v>
      </c>
      <c r="D745" s="8">
        <v>2.2000000000000002</v>
      </c>
      <c r="E745" s="4">
        <v>2</v>
      </c>
      <c r="F745" s="8">
        <v>2.2000000000000002</v>
      </c>
      <c r="G745" s="4">
        <v>2</v>
      </c>
      <c r="H745" s="8">
        <v>2.2200000000000002</v>
      </c>
      <c r="I745" s="4">
        <v>0</v>
      </c>
    </row>
    <row r="746" spans="1:9" x14ac:dyDescent="0.2">
      <c r="A746" s="2">
        <v>14</v>
      </c>
      <c r="B746" s="1" t="s">
        <v>76</v>
      </c>
      <c r="C746" s="4">
        <v>3</v>
      </c>
      <c r="D746" s="8">
        <v>1.65</v>
      </c>
      <c r="E746" s="4">
        <v>1</v>
      </c>
      <c r="F746" s="8">
        <v>1.1000000000000001</v>
      </c>
      <c r="G746" s="4">
        <v>2</v>
      </c>
      <c r="H746" s="8">
        <v>2.2200000000000002</v>
      </c>
      <c r="I746" s="4">
        <v>0</v>
      </c>
    </row>
    <row r="747" spans="1:9" x14ac:dyDescent="0.2">
      <c r="A747" s="2">
        <v>14</v>
      </c>
      <c r="B747" s="1" t="s">
        <v>106</v>
      </c>
      <c r="C747" s="4">
        <v>3</v>
      </c>
      <c r="D747" s="8">
        <v>1.65</v>
      </c>
      <c r="E747" s="4">
        <v>3</v>
      </c>
      <c r="F747" s="8">
        <v>3.3</v>
      </c>
      <c r="G747" s="4">
        <v>0</v>
      </c>
      <c r="H747" s="8">
        <v>0</v>
      </c>
      <c r="I747" s="4">
        <v>0</v>
      </c>
    </row>
    <row r="748" spans="1:9" x14ac:dyDescent="0.2">
      <c r="A748" s="2">
        <v>14</v>
      </c>
      <c r="B748" s="1" t="s">
        <v>90</v>
      </c>
      <c r="C748" s="4">
        <v>3</v>
      </c>
      <c r="D748" s="8">
        <v>1.65</v>
      </c>
      <c r="E748" s="4">
        <v>1</v>
      </c>
      <c r="F748" s="8">
        <v>1.1000000000000001</v>
      </c>
      <c r="G748" s="4">
        <v>2</v>
      </c>
      <c r="H748" s="8">
        <v>2.2200000000000002</v>
      </c>
      <c r="I748" s="4">
        <v>0</v>
      </c>
    </row>
    <row r="749" spans="1:9" x14ac:dyDescent="0.2">
      <c r="A749" s="2">
        <v>14</v>
      </c>
      <c r="B749" s="1" t="s">
        <v>93</v>
      </c>
      <c r="C749" s="4">
        <v>3</v>
      </c>
      <c r="D749" s="8">
        <v>1.65</v>
      </c>
      <c r="E749" s="4">
        <v>2</v>
      </c>
      <c r="F749" s="8">
        <v>2.2000000000000002</v>
      </c>
      <c r="G749" s="4">
        <v>1</v>
      </c>
      <c r="H749" s="8">
        <v>1.1100000000000001</v>
      </c>
      <c r="I749" s="4">
        <v>0</v>
      </c>
    </row>
    <row r="750" spans="1:9" x14ac:dyDescent="0.2">
      <c r="A750" s="2">
        <v>14</v>
      </c>
      <c r="B750" s="1" t="s">
        <v>95</v>
      </c>
      <c r="C750" s="4">
        <v>3</v>
      </c>
      <c r="D750" s="8">
        <v>1.65</v>
      </c>
      <c r="E750" s="4">
        <v>0</v>
      </c>
      <c r="F750" s="8">
        <v>0</v>
      </c>
      <c r="G750" s="4">
        <v>3</v>
      </c>
      <c r="H750" s="8">
        <v>3.33</v>
      </c>
      <c r="I750" s="4">
        <v>0</v>
      </c>
    </row>
    <row r="751" spans="1:9" x14ac:dyDescent="0.2">
      <c r="A751" s="2">
        <v>19</v>
      </c>
      <c r="B751" s="1" t="s">
        <v>109</v>
      </c>
      <c r="C751" s="4">
        <v>2</v>
      </c>
      <c r="D751" s="8">
        <v>1.1000000000000001</v>
      </c>
      <c r="E751" s="4">
        <v>0</v>
      </c>
      <c r="F751" s="8">
        <v>0</v>
      </c>
      <c r="G751" s="4">
        <v>2</v>
      </c>
      <c r="H751" s="8">
        <v>2.2200000000000002</v>
      </c>
      <c r="I751" s="4">
        <v>0</v>
      </c>
    </row>
    <row r="752" spans="1:9" x14ac:dyDescent="0.2">
      <c r="A752" s="2">
        <v>19</v>
      </c>
      <c r="B752" s="1" t="s">
        <v>111</v>
      </c>
      <c r="C752" s="4">
        <v>2</v>
      </c>
      <c r="D752" s="8">
        <v>1.1000000000000001</v>
      </c>
      <c r="E752" s="4">
        <v>2</v>
      </c>
      <c r="F752" s="8">
        <v>2.2000000000000002</v>
      </c>
      <c r="G752" s="4">
        <v>0</v>
      </c>
      <c r="H752" s="8">
        <v>0</v>
      </c>
      <c r="I752" s="4">
        <v>0</v>
      </c>
    </row>
    <row r="753" spans="1:9" x14ac:dyDescent="0.2">
      <c r="A753" s="2">
        <v>19</v>
      </c>
      <c r="B753" s="1" t="s">
        <v>125</v>
      </c>
      <c r="C753" s="4">
        <v>2</v>
      </c>
      <c r="D753" s="8">
        <v>1.1000000000000001</v>
      </c>
      <c r="E753" s="4">
        <v>1</v>
      </c>
      <c r="F753" s="8">
        <v>1.1000000000000001</v>
      </c>
      <c r="G753" s="4">
        <v>1</v>
      </c>
      <c r="H753" s="8">
        <v>1.1100000000000001</v>
      </c>
      <c r="I753" s="4">
        <v>0</v>
      </c>
    </row>
    <row r="754" spans="1:9" x14ac:dyDescent="0.2">
      <c r="A754" s="2">
        <v>19</v>
      </c>
      <c r="B754" s="1" t="s">
        <v>79</v>
      </c>
      <c r="C754" s="4">
        <v>2</v>
      </c>
      <c r="D754" s="8">
        <v>1.1000000000000001</v>
      </c>
      <c r="E754" s="4">
        <v>0</v>
      </c>
      <c r="F754" s="8">
        <v>0</v>
      </c>
      <c r="G754" s="4">
        <v>2</v>
      </c>
      <c r="H754" s="8">
        <v>2.2200000000000002</v>
      </c>
      <c r="I754" s="4">
        <v>0</v>
      </c>
    </row>
    <row r="755" spans="1:9" x14ac:dyDescent="0.2">
      <c r="A755" s="2">
        <v>19</v>
      </c>
      <c r="B755" s="1" t="s">
        <v>85</v>
      </c>
      <c r="C755" s="4">
        <v>2</v>
      </c>
      <c r="D755" s="8">
        <v>1.1000000000000001</v>
      </c>
      <c r="E755" s="4">
        <v>1</v>
      </c>
      <c r="F755" s="8">
        <v>1.1000000000000001</v>
      </c>
      <c r="G755" s="4">
        <v>1</v>
      </c>
      <c r="H755" s="8">
        <v>1.1100000000000001</v>
      </c>
      <c r="I755" s="4">
        <v>0</v>
      </c>
    </row>
    <row r="756" spans="1:9" x14ac:dyDescent="0.2">
      <c r="A756" s="2">
        <v>19</v>
      </c>
      <c r="B756" s="1" t="s">
        <v>117</v>
      </c>
      <c r="C756" s="4">
        <v>2</v>
      </c>
      <c r="D756" s="8">
        <v>1.1000000000000001</v>
      </c>
      <c r="E756" s="4">
        <v>0</v>
      </c>
      <c r="F756" s="8">
        <v>0</v>
      </c>
      <c r="G756" s="4">
        <v>2</v>
      </c>
      <c r="H756" s="8">
        <v>2.2200000000000002</v>
      </c>
      <c r="I756" s="4">
        <v>0</v>
      </c>
    </row>
    <row r="757" spans="1:9" x14ac:dyDescent="0.2">
      <c r="A757" s="2">
        <v>19</v>
      </c>
      <c r="B757" s="1" t="s">
        <v>101</v>
      </c>
      <c r="C757" s="4">
        <v>2</v>
      </c>
      <c r="D757" s="8">
        <v>1.1000000000000001</v>
      </c>
      <c r="E757" s="4">
        <v>2</v>
      </c>
      <c r="F757" s="8">
        <v>2.2000000000000002</v>
      </c>
      <c r="G757" s="4">
        <v>0</v>
      </c>
      <c r="H757" s="8">
        <v>0</v>
      </c>
      <c r="I757" s="4">
        <v>0</v>
      </c>
    </row>
    <row r="758" spans="1:9" x14ac:dyDescent="0.2">
      <c r="A758" s="2">
        <v>19</v>
      </c>
      <c r="B758" s="1" t="s">
        <v>126</v>
      </c>
      <c r="C758" s="4">
        <v>2</v>
      </c>
      <c r="D758" s="8">
        <v>1.1000000000000001</v>
      </c>
      <c r="E758" s="4">
        <v>1</v>
      </c>
      <c r="F758" s="8">
        <v>1.1000000000000001</v>
      </c>
      <c r="G758" s="4">
        <v>1</v>
      </c>
      <c r="H758" s="8">
        <v>1.1100000000000001</v>
      </c>
      <c r="I758" s="4">
        <v>0</v>
      </c>
    </row>
    <row r="759" spans="1:9" x14ac:dyDescent="0.2">
      <c r="A759" s="1"/>
      <c r="C759" s="4"/>
      <c r="D759" s="8"/>
      <c r="E759" s="4"/>
      <c r="F759" s="8"/>
      <c r="G759" s="4"/>
      <c r="H759" s="8"/>
      <c r="I759" s="4"/>
    </row>
    <row r="760" spans="1:9" x14ac:dyDescent="0.2">
      <c r="A760" s="1" t="s">
        <v>32</v>
      </c>
      <c r="C760" s="4"/>
      <c r="D760" s="8"/>
      <c r="E760" s="4"/>
      <c r="F760" s="8"/>
      <c r="G760" s="4"/>
      <c r="H760" s="8"/>
      <c r="I760" s="4"/>
    </row>
    <row r="761" spans="1:9" x14ac:dyDescent="0.2">
      <c r="A761" s="2">
        <v>1</v>
      </c>
      <c r="B761" s="1" t="s">
        <v>88</v>
      </c>
      <c r="C761" s="4">
        <v>61</v>
      </c>
      <c r="D761" s="8">
        <v>18.43</v>
      </c>
      <c r="E761" s="4">
        <v>55</v>
      </c>
      <c r="F761" s="8">
        <v>25.58</v>
      </c>
      <c r="G761" s="4">
        <v>6</v>
      </c>
      <c r="H761" s="8">
        <v>5.45</v>
      </c>
      <c r="I761" s="4">
        <v>0</v>
      </c>
    </row>
    <row r="762" spans="1:9" x14ac:dyDescent="0.2">
      <c r="A762" s="2">
        <v>2</v>
      </c>
      <c r="B762" s="1" t="s">
        <v>74</v>
      </c>
      <c r="C762" s="4">
        <v>33</v>
      </c>
      <c r="D762" s="8">
        <v>9.9700000000000006</v>
      </c>
      <c r="E762" s="4">
        <v>6</v>
      </c>
      <c r="F762" s="8">
        <v>2.79</v>
      </c>
      <c r="G762" s="4">
        <v>27</v>
      </c>
      <c r="H762" s="8">
        <v>24.55</v>
      </c>
      <c r="I762" s="4">
        <v>0</v>
      </c>
    </row>
    <row r="763" spans="1:9" x14ac:dyDescent="0.2">
      <c r="A763" s="2">
        <v>3</v>
      </c>
      <c r="B763" s="1" t="s">
        <v>81</v>
      </c>
      <c r="C763" s="4">
        <v>30</v>
      </c>
      <c r="D763" s="8">
        <v>9.06</v>
      </c>
      <c r="E763" s="4">
        <v>22</v>
      </c>
      <c r="F763" s="8">
        <v>10.23</v>
      </c>
      <c r="G763" s="4">
        <v>8</v>
      </c>
      <c r="H763" s="8">
        <v>7.27</v>
      </c>
      <c r="I763" s="4">
        <v>0</v>
      </c>
    </row>
    <row r="764" spans="1:9" x14ac:dyDescent="0.2">
      <c r="A764" s="2">
        <v>4</v>
      </c>
      <c r="B764" s="1" t="s">
        <v>89</v>
      </c>
      <c r="C764" s="4">
        <v>27</v>
      </c>
      <c r="D764" s="8">
        <v>8.16</v>
      </c>
      <c r="E764" s="4">
        <v>27</v>
      </c>
      <c r="F764" s="8">
        <v>12.56</v>
      </c>
      <c r="G764" s="4">
        <v>0</v>
      </c>
      <c r="H764" s="8">
        <v>0</v>
      </c>
      <c r="I764" s="4">
        <v>0</v>
      </c>
    </row>
    <row r="765" spans="1:9" x14ac:dyDescent="0.2">
      <c r="A765" s="2">
        <v>5</v>
      </c>
      <c r="B765" s="1" t="s">
        <v>83</v>
      </c>
      <c r="C765" s="4">
        <v>24</v>
      </c>
      <c r="D765" s="8">
        <v>7.25</v>
      </c>
      <c r="E765" s="4">
        <v>16</v>
      </c>
      <c r="F765" s="8">
        <v>7.44</v>
      </c>
      <c r="G765" s="4">
        <v>8</v>
      </c>
      <c r="H765" s="8">
        <v>7.27</v>
      </c>
      <c r="I765" s="4">
        <v>0</v>
      </c>
    </row>
    <row r="766" spans="1:9" x14ac:dyDescent="0.2">
      <c r="A766" s="2">
        <v>5</v>
      </c>
      <c r="B766" s="1" t="s">
        <v>106</v>
      </c>
      <c r="C766" s="4">
        <v>24</v>
      </c>
      <c r="D766" s="8">
        <v>7.25</v>
      </c>
      <c r="E766" s="4">
        <v>23</v>
      </c>
      <c r="F766" s="8">
        <v>10.7</v>
      </c>
      <c r="G766" s="4">
        <v>1</v>
      </c>
      <c r="H766" s="8">
        <v>0.91</v>
      </c>
      <c r="I766" s="4">
        <v>0</v>
      </c>
    </row>
    <row r="767" spans="1:9" x14ac:dyDescent="0.2">
      <c r="A767" s="2">
        <v>7</v>
      </c>
      <c r="B767" s="1" t="s">
        <v>82</v>
      </c>
      <c r="C767" s="4">
        <v>10</v>
      </c>
      <c r="D767" s="8">
        <v>3.02</v>
      </c>
      <c r="E767" s="4">
        <v>9</v>
      </c>
      <c r="F767" s="8">
        <v>4.1900000000000004</v>
      </c>
      <c r="G767" s="4">
        <v>1</v>
      </c>
      <c r="H767" s="8">
        <v>0.91</v>
      </c>
      <c r="I767" s="4">
        <v>0</v>
      </c>
    </row>
    <row r="768" spans="1:9" x14ac:dyDescent="0.2">
      <c r="A768" s="2">
        <v>7</v>
      </c>
      <c r="B768" s="1" t="s">
        <v>85</v>
      </c>
      <c r="C768" s="4">
        <v>10</v>
      </c>
      <c r="D768" s="8">
        <v>3.02</v>
      </c>
      <c r="E768" s="4">
        <v>4</v>
      </c>
      <c r="F768" s="8">
        <v>1.86</v>
      </c>
      <c r="G768" s="4">
        <v>5</v>
      </c>
      <c r="H768" s="8">
        <v>4.55</v>
      </c>
      <c r="I768" s="4">
        <v>0</v>
      </c>
    </row>
    <row r="769" spans="1:9" x14ac:dyDescent="0.2">
      <c r="A769" s="2">
        <v>9</v>
      </c>
      <c r="B769" s="1" t="s">
        <v>90</v>
      </c>
      <c r="C769" s="4">
        <v>9</v>
      </c>
      <c r="D769" s="8">
        <v>2.72</v>
      </c>
      <c r="E769" s="4">
        <v>7</v>
      </c>
      <c r="F769" s="8">
        <v>3.26</v>
      </c>
      <c r="G769" s="4">
        <v>2</v>
      </c>
      <c r="H769" s="8">
        <v>1.82</v>
      </c>
      <c r="I769" s="4">
        <v>0</v>
      </c>
    </row>
    <row r="770" spans="1:9" x14ac:dyDescent="0.2">
      <c r="A770" s="2">
        <v>9</v>
      </c>
      <c r="B770" s="1" t="s">
        <v>93</v>
      </c>
      <c r="C770" s="4">
        <v>9</v>
      </c>
      <c r="D770" s="8">
        <v>2.72</v>
      </c>
      <c r="E770" s="4">
        <v>8</v>
      </c>
      <c r="F770" s="8">
        <v>3.72</v>
      </c>
      <c r="G770" s="4">
        <v>1</v>
      </c>
      <c r="H770" s="8">
        <v>0.91</v>
      </c>
      <c r="I770" s="4">
        <v>0</v>
      </c>
    </row>
    <row r="771" spans="1:9" x14ac:dyDescent="0.2">
      <c r="A771" s="2">
        <v>11</v>
      </c>
      <c r="B771" s="1" t="s">
        <v>80</v>
      </c>
      <c r="C771" s="4">
        <v>7</v>
      </c>
      <c r="D771" s="8">
        <v>2.11</v>
      </c>
      <c r="E771" s="4">
        <v>4</v>
      </c>
      <c r="F771" s="8">
        <v>1.86</v>
      </c>
      <c r="G771" s="4">
        <v>3</v>
      </c>
      <c r="H771" s="8">
        <v>2.73</v>
      </c>
      <c r="I771" s="4">
        <v>0</v>
      </c>
    </row>
    <row r="772" spans="1:9" x14ac:dyDescent="0.2">
      <c r="A772" s="2">
        <v>11</v>
      </c>
      <c r="B772" s="1" t="s">
        <v>91</v>
      </c>
      <c r="C772" s="4">
        <v>7</v>
      </c>
      <c r="D772" s="8">
        <v>2.11</v>
      </c>
      <c r="E772" s="4">
        <v>7</v>
      </c>
      <c r="F772" s="8">
        <v>3.26</v>
      </c>
      <c r="G772" s="4">
        <v>0</v>
      </c>
      <c r="H772" s="8">
        <v>0</v>
      </c>
      <c r="I772" s="4">
        <v>0</v>
      </c>
    </row>
    <row r="773" spans="1:9" x14ac:dyDescent="0.2">
      <c r="A773" s="2">
        <v>13</v>
      </c>
      <c r="B773" s="1" t="s">
        <v>77</v>
      </c>
      <c r="C773" s="4">
        <v>6</v>
      </c>
      <c r="D773" s="8">
        <v>1.81</v>
      </c>
      <c r="E773" s="4">
        <v>3</v>
      </c>
      <c r="F773" s="8">
        <v>1.4</v>
      </c>
      <c r="G773" s="4">
        <v>3</v>
      </c>
      <c r="H773" s="8">
        <v>2.73</v>
      </c>
      <c r="I773" s="4">
        <v>0</v>
      </c>
    </row>
    <row r="774" spans="1:9" x14ac:dyDescent="0.2">
      <c r="A774" s="2">
        <v>13</v>
      </c>
      <c r="B774" s="1" t="s">
        <v>86</v>
      </c>
      <c r="C774" s="4">
        <v>6</v>
      </c>
      <c r="D774" s="8">
        <v>1.81</v>
      </c>
      <c r="E774" s="4">
        <v>4</v>
      </c>
      <c r="F774" s="8">
        <v>1.86</v>
      </c>
      <c r="G774" s="4">
        <v>2</v>
      </c>
      <c r="H774" s="8">
        <v>1.82</v>
      </c>
      <c r="I774" s="4">
        <v>0</v>
      </c>
    </row>
    <row r="775" spans="1:9" x14ac:dyDescent="0.2">
      <c r="A775" s="2">
        <v>15</v>
      </c>
      <c r="B775" s="1" t="s">
        <v>75</v>
      </c>
      <c r="C775" s="4">
        <v>5</v>
      </c>
      <c r="D775" s="8">
        <v>1.51</v>
      </c>
      <c r="E775" s="4">
        <v>2</v>
      </c>
      <c r="F775" s="8">
        <v>0.93</v>
      </c>
      <c r="G775" s="4">
        <v>3</v>
      </c>
      <c r="H775" s="8">
        <v>2.73</v>
      </c>
      <c r="I775" s="4">
        <v>0</v>
      </c>
    </row>
    <row r="776" spans="1:9" x14ac:dyDescent="0.2">
      <c r="A776" s="2">
        <v>15</v>
      </c>
      <c r="B776" s="1" t="s">
        <v>78</v>
      </c>
      <c r="C776" s="4">
        <v>5</v>
      </c>
      <c r="D776" s="8">
        <v>1.51</v>
      </c>
      <c r="E776" s="4">
        <v>2</v>
      </c>
      <c r="F776" s="8">
        <v>0.93</v>
      </c>
      <c r="G776" s="4">
        <v>3</v>
      </c>
      <c r="H776" s="8">
        <v>2.73</v>
      </c>
      <c r="I776" s="4">
        <v>0</v>
      </c>
    </row>
    <row r="777" spans="1:9" x14ac:dyDescent="0.2">
      <c r="A777" s="2">
        <v>17</v>
      </c>
      <c r="B777" s="1" t="s">
        <v>109</v>
      </c>
      <c r="C777" s="4">
        <v>4</v>
      </c>
      <c r="D777" s="8">
        <v>1.21</v>
      </c>
      <c r="E777" s="4">
        <v>2</v>
      </c>
      <c r="F777" s="8">
        <v>0.93</v>
      </c>
      <c r="G777" s="4">
        <v>2</v>
      </c>
      <c r="H777" s="8">
        <v>1.82</v>
      </c>
      <c r="I777" s="4">
        <v>0</v>
      </c>
    </row>
    <row r="778" spans="1:9" x14ac:dyDescent="0.2">
      <c r="A778" s="2">
        <v>17</v>
      </c>
      <c r="B778" s="1" t="s">
        <v>116</v>
      </c>
      <c r="C778" s="4">
        <v>4</v>
      </c>
      <c r="D778" s="8">
        <v>1.21</v>
      </c>
      <c r="E778" s="4">
        <v>0</v>
      </c>
      <c r="F778" s="8">
        <v>0</v>
      </c>
      <c r="G778" s="4">
        <v>4</v>
      </c>
      <c r="H778" s="8">
        <v>3.64</v>
      </c>
      <c r="I778" s="4">
        <v>0</v>
      </c>
    </row>
    <row r="779" spans="1:9" x14ac:dyDescent="0.2">
      <c r="A779" s="2">
        <v>17</v>
      </c>
      <c r="B779" s="1" t="s">
        <v>87</v>
      </c>
      <c r="C779" s="4">
        <v>4</v>
      </c>
      <c r="D779" s="8">
        <v>1.21</v>
      </c>
      <c r="E779" s="4">
        <v>0</v>
      </c>
      <c r="F779" s="8">
        <v>0</v>
      </c>
      <c r="G779" s="4">
        <v>4</v>
      </c>
      <c r="H779" s="8">
        <v>3.64</v>
      </c>
      <c r="I779" s="4">
        <v>0</v>
      </c>
    </row>
    <row r="780" spans="1:9" x14ac:dyDescent="0.2">
      <c r="A780" s="2">
        <v>17</v>
      </c>
      <c r="B780" s="1" t="s">
        <v>100</v>
      </c>
      <c r="C780" s="4">
        <v>4</v>
      </c>
      <c r="D780" s="8">
        <v>1.21</v>
      </c>
      <c r="E780" s="4">
        <v>2</v>
      </c>
      <c r="F780" s="8">
        <v>0.93</v>
      </c>
      <c r="G780" s="4">
        <v>2</v>
      </c>
      <c r="H780" s="8">
        <v>1.82</v>
      </c>
      <c r="I780" s="4">
        <v>0</v>
      </c>
    </row>
    <row r="781" spans="1:9" x14ac:dyDescent="0.2">
      <c r="A781" s="1"/>
      <c r="C781" s="4"/>
      <c r="D781" s="8"/>
      <c r="E781" s="4"/>
      <c r="F781" s="8"/>
      <c r="G781" s="4"/>
      <c r="H781" s="8"/>
      <c r="I781" s="4"/>
    </row>
    <row r="782" spans="1:9" x14ac:dyDescent="0.2">
      <c r="A782" s="1" t="s">
        <v>33</v>
      </c>
      <c r="C782" s="4"/>
      <c r="D782" s="8"/>
      <c r="E782" s="4"/>
      <c r="F782" s="8"/>
      <c r="G782" s="4"/>
      <c r="H782" s="8"/>
      <c r="I782" s="4"/>
    </row>
    <row r="783" spans="1:9" x14ac:dyDescent="0.2">
      <c r="A783" s="2">
        <v>1</v>
      </c>
      <c r="B783" s="1" t="s">
        <v>74</v>
      </c>
      <c r="C783" s="4">
        <v>47</v>
      </c>
      <c r="D783" s="8">
        <v>11.96</v>
      </c>
      <c r="E783" s="4">
        <v>12</v>
      </c>
      <c r="F783" s="8">
        <v>6.03</v>
      </c>
      <c r="G783" s="4">
        <v>35</v>
      </c>
      <c r="H783" s="8">
        <v>18.23</v>
      </c>
      <c r="I783" s="4">
        <v>0</v>
      </c>
    </row>
    <row r="784" spans="1:9" x14ac:dyDescent="0.2">
      <c r="A784" s="2">
        <v>2</v>
      </c>
      <c r="B784" s="1" t="s">
        <v>89</v>
      </c>
      <c r="C784" s="4">
        <v>35</v>
      </c>
      <c r="D784" s="8">
        <v>8.91</v>
      </c>
      <c r="E784" s="4">
        <v>29</v>
      </c>
      <c r="F784" s="8">
        <v>14.57</v>
      </c>
      <c r="G784" s="4">
        <v>6</v>
      </c>
      <c r="H784" s="8">
        <v>3.13</v>
      </c>
      <c r="I784" s="4">
        <v>0</v>
      </c>
    </row>
    <row r="785" spans="1:9" x14ac:dyDescent="0.2">
      <c r="A785" s="2">
        <v>3</v>
      </c>
      <c r="B785" s="1" t="s">
        <v>75</v>
      </c>
      <c r="C785" s="4">
        <v>30</v>
      </c>
      <c r="D785" s="8">
        <v>7.63</v>
      </c>
      <c r="E785" s="4">
        <v>17</v>
      </c>
      <c r="F785" s="8">
        <v>8.5399999999999991</v>
      </c>
      <c r="G785" s="4">
        <v>13</v>
      </c>
      <c r="H785" s="8">
        <v>6.77</v>
      </c>
      <c r="I785" s="4">
        <v>0</v>
      </c>
    </row>
    <row r="786" spans="1:9" x14ac:dyDescent="0.2">
      <c r="A786" s="2">
        <v>4</v>
      </c>
      <c r="B786" s="1" t="s">
        <v>81</v>
      </c>
      <c r="C786" s="4">
        <v>28</v>
      </c>
      <c r="D786" s="8">
        <v>7.12</v>
      </c>
      <c r="E786" s="4">
        <v>16</v>
      </c>
      <c r="F786" s="8">
        <v>8.0399999999999991</v>
      </c>
      <c r="G786" s="4">
        <v>12</v>
      </c>
      <c r="H786" s="8">
        <v>6.25</v>
      </c>
      <c r="I786" s="4">
        <v>0</v>
      </c>
    </row>
    <row r="787" spans="1:9" x14ac:dyDescent="0.2">
      <c r="A787" s="2">
        <v>5</v>
      </c>
      <c r="B787" s="1" t="s">
        <v>83</v>
      </c>
      <c r="C787" s="4">
        <v>24</v>
      </c>
      <c r="D787" s="8">
        <v>6.11</v>
      </c>
      <c r="E787" s="4">
        <v>11</v>
      </c>
      <c r="F787" s="8">
        <v>5.53</v>
      </c>
      <c r="G787" s="4">
        <v>13</v>
      </c>
      <c r="H787" s="8">
        <v>6.77</v>
      </c>
      <c r="I787" s="4">
        <v>0</v>
      </c>
    </row>
    <row r="788" spans="1:9" x14ac:dyDescent="0.2">
      <c r="A788" s="2">
        <v>6</v>
      </c>
      <c r="B788" s="1" t="s">
        <v>82</v>
      </c>
      <c r="C788" s="4">
        <v>22</v>
      </c>
      <c r="D788" s="8">
        <v>5.6</v>
      </c>
      <c r="E788" s="4">
        <v>16</v>
      </c>
      <c r="F788" s="8">
        <v>8.0399999999999991</v>
      </c>
      <c r="G788" s="4">
        <v>6</v>
      </c>
      <c r="H788" s="8">
        <v>3.13</v>
      </c>
      <c r="I788" s="4">
        <v>0</v>
      </c>
    </row>
    <row r="789" spans="1:9" x14ac:dyDescent="0.2">
      <c r="A789" s="2">
        <v>7</v>
      </c>
      <c r="B789" s="1" t="s">
        <v>88</v>
      </c>
      <c r="C789" s="4">
        <v>21</v>
      </c>
      <c r="D789" s="8">
        <v>5.34</v>
      </c>
      <c r="E789" s="4">
        <v>20</v>
      </c>
      <c r="F789" s="8">
        <v>10.050000000000001</v>
      </c>
      <c r="G789" s="4">
        <v>1</v>
      </c>
      <c r="H789" s="8">
        <v>0.52</v>
      </c>
      <c r="I789" s="4">
        <v>0</v>
      </c>
    </row>
    <row r="790" spans="1:9" x14ac:dyDescent="0.2">
      <c r="A790" s="2">
        <v>8</v>
      </c>
      <c r="B790" s="1" t="s">
        <v>76</v>
      </c>
      <c r="C790" s="4">
        <v>19</v>
      </c>
      <c r="D790" s="8">
        <v>4.83</v>
      </c>
      <c r="E790" s="4">
        <v>5</v>
      </c>
      <c r="F790" s="8">
        <v>2.5099999999999998</v>
      </c>
      <c r="G790" s="4">
        <v>14</v>
      </c>
      <c r="H790" s="8">
        <v>7.29</v>
      </c>
      <c r="I790" s="4">
        <v>0</v>
      </c>
    </row>
    <row r="791" spans="1:9" x14ac:dyDescent="0.2">
      <c r="A791" s="2">
        <v>9</v>
      </c>
      <c r="B791" s="1" t="s">
        <v>93</v>
      </c>
      <c r="C791" s="4">
        <v>13</v>
      </c>
      <c r="D791" s="8">
        <v>3.31</v>
      </c>
      <c r="E791" s="4">
        <v>9</v>
      </c>
      <c r="F791" s="8">
        <v>4.5199999999999996</v>
      </c>
      <c r="G791" s="4">
        <v>4</v>
      </c>
      <c r="H791" s="8">
        <v>2.08</v>
      </c>
      <c r="I791" s="4">
        <v>0</v>
      </c>
    </row>
    <row r="792" spans="1:9" x14ac:dyDescent="0.2">
      <c r="A792" s="2">
        <v>10</v>
      </c>
      <c r="B792" s="1" t="s">
        <v>99</v>
      </c>
      <c r="C792" s="4">
        <v>9</v>
      </c>
      <c r="D792" s="8">
        <v>2.29</v>
      </c>
      <c r="E792" s="4">
        <v>3</v>
      </c>
      <c r="F792" s="8">
        <v>1.51</v>
      </c>
      <c r="G792" s="4">
        <v>6</v>
      </c>
      <c r="H792" s="8">
        <v>3.13</v>
      </c>
      <c r="I792" s="4">
        <v>0</v>
      </c>
    </row>
    <row r="793" spans="1:9" x14ac:dyDescent="0.2">
      <c r="A793" s="2">
        <v>10</v>
      </c>
      <c r="B793" s="1" t="s">
        <v>85</v>
      </c>
      <c r="C793" s="4">
        <v>9</v>
      </c>
      <c r="D793" s="8">
        <v>2.29</v>
      </c>
      <c r="E793" s="4">
        <v>2</v>
      </c>
      <c r="F793" s="8">
        <v>1.01</v>
      </c>
      <c r="G793" s="4">
        <v>7</v>
      </c>
      <c r="H793" s="8">
        <v>3.65</v>
      </c>
      <c r="I793" s="4">
        <v>0</v>
      </c>
    </row>
    <row r="794" spans="1:9" x14ac:dyDescent="0.2">
      <c r="A794" s="2">
        <v>10</v>
      </c>
      <c r="B794" s="1" t="s">
        <v>91</v>
      </c>
      <c r="C794" s="4">
        <v>9</v>
      </c>
      <c r="D794" s="8">
        <v>2.29</v>
      </c>
      <c r="E794" s="4">
        <v>7</v>
      </c>
      <c r="F794" s="8">
        <v>3.52</v>
      </c>
      <c r="G794" s="4">
        <v>2</v>
      </c>
      <c r="H794" s="8">
        <v>1.04</v>
      </c>
      <c r="I794" s="4">
        <v>0</v>
      </c>
    </row>
    <row r="795" spans="1:9" x14ac:dyDescent="0.2">
      <c r="A795" s="2">
        <v>13</v>
      </c>
      <c r="B795" s="1" t="s">
        <v>92</v>
      </c>
      <c r="C795" s="4">
        <v>8</v>
      </c>
      <c r="D795" s="8">
        <v>2.04</v>
      </c>
      <c r="E795" s="4">
        <v>1</v>
      </c>
      <c r="F795" s="8">
        <v>0.5</v>
      </c>
      <c r="G795" s="4">
        <v>7</v>
      </c>
      <c r="H795" s="8">
        <v>3.65</v>
      </c>
      <c r="I795" s="4">
        <v>0</v>
      </c>
    </row>
    <row r="796" spans="1:9" x14ac:dyDescent="0.2">
      <c r="A796" s="2">
        <v>14</v>
      </c>
      <c r="B796" s="1" t="s">
        <v>84</v>
      </c>
      <c r="C796" s="4">
        <v>7</v>
      </c>
      <c r="D796" s="8">
        <v>1.78</v>
      </c>
      <c r="E796" s="4">
        <v>3</v>
      </c>
      <c r="F796" s="8">
        <v>1.51</v>
      </c>
      <c r="G796" s="4">
        <v>4</v>
      </c>
      <c r="H796" s="8">
        <v>2.08</v>
      </c>
      <c r="I796" s="4">
        <v>0</v>
      </c>
    </row>
    <row r="797" spans="1:9" x14ac:dyDescent="0.2">
      <c r="A797" s="2">
        <v>14</v>
      </c>
      <c r="B797" s="1" t="s">
        <v>86</v>
      </c>
      <c r="C797" s="4">
        <v>7</v>
      </c>
      <c r="D797" s="8">
        <v>1.78</v>
      </c>
      <c r="E797" s="4">
        <v>5</v>
      </c>
      <c r="F797" s="8">
        <v>2.5099999999999998</v>
      </c>
      <c r="G797" s="4">
        <v>2</v>
      </c>
      <c r="H797" s="8">
        <v>1.04</v>
      </c>
      <c r="I797" s="4">
        <v>0</v>
      </c>
    </row>
    <row r="798" spans="1:9" x14ac:dyDescent="0.2">
      <c r="A798" s="2">
        <v>14</v>
      </c>
      <c r="B798" s="1" t="s">
        <v>101</v>
      </c>
      <c r="C798" s="4">
        <v>7</v>
      </c>
      <c r="D798" s="8">
        <v>1.78</v>
      </c>
      <c r="E798" s="4">
        <v>6</v>
      </c>
      <c r="F798" s="8">
        <v>3.02</v>
      </c>
      <c r="G798" s="4">
        <v>1</v>
      </c>
      <c r="H798" s="8">
        <v>0.52</v>
      </c>
      <c r="I798" s="4">
        <v>0</v>
      </c>
    </row>
    <row r="799" spans="1:9" x14ac:dyDescent="0.2">
      <c r="A799" s="2">
        <v>14</v>
      </c>
      <c r="B799" s="1" t="s">
        <v>90</v>
      </c>
      <c r="C799" s="4">
        <v>7</v>
      </c>
      <c r="D799" s="8">
        <v>1.78</v>
      </c>
      <c r="E799" s="4">
        <v>3</v>
      </c>
      <c r="F799" s="8">
        <v>1.51</v>
      </c>
      <c r="G799" s="4">
        <v>4</v>
      </c>
      <c r="H799" s="8">
        <v>2.08</v>
      </c>
      <c r="I799" s="4">
        <v>0</v>
      </c>
    </row>
    <row r="800" spans="1:9" x14ac:dyDescent="0.2">
      <c r="A800" s="2">
        <v>18</v>
      </c>
      <c r="B800" s="1" t="s">
        <v>77</v>
      </c>
      <c r="C800" s="4">
        <v>6</v>
      </c>
      <c r="D800" s="8">
        <v>1.53</v>
      </c>
      <c r="E800" s="4">
        <v>4</v>
      </c>
      <c r="F800" s="8">
        <v>2.0099999999999998</v>
      </c>
      <c r="G800" s="4">
        <v>2</v>
      </c>
      <c r="H800" s="8">
        <v>1.04</v>
      </c>
      <c r="I800" s="4">
        <v>0</v>
      </c>
    </row>
    <row r="801" spans="1:9" x14ac:dyDescent="0.2">
      <c r="A801" s="2">
        <v>18</v>
      </c>
      <c r="B801" s="1" t="s">
        <v>114</v>
      </c>
      <c r="C801" s="4">
        <v>6</v>
      </c>
      <c r="D801" s="8">
        <v>1.53</v>
      </c>
      <c r="E801" s="4">
        <v>1</v>
      </c>
      <c r="F801" s="8">
        <v>0.5</v>
      </c>
      <c r="G801" s="4">
        <v>5</v>
      </c>
      <c r="H801" s="8">
        <v>2.6</v>
      </c>
      <c r="I801" s="4">
        <v>0</v>
      </c>
    </row>
    <row r="802" spans="1:9" x14ac:dyDescent="0.2">
      <c r="A802" s="2">
        <v>18</v>
      </c>
      <c r="B802" s="1" t="s">
        <v>87</v>
      </c>
      <c r="C802" s="4">
        <v>6</v>
      </c>
      <c r="D802" s="8">
        <v>1.53</v>
      </c>
      <c r="E802" s="4">
        <v>3</v>
      </c>
      <c r="F802" s="8">
        <v>1.51</v>
      </c>
      <c r="G802" s="4">
        <v>2</v>
      </c>
      <c r="H802" s="8">
        <v>1.04</v>
      </c>
      <c r="I802" s="4">
        <v>0</v>
      </c>
    </row>
    <row r="803" spans="1:9" x14ac:dyDescent="0.2">
      <c r="A803" s="1"/>
      <c r="C803" s="4"/>
      <c r="D803" s="8"/>
      <c r="E803" s="4"/>
      <c r="F803" s="8"/>
      <c r="G803" s="4"/>
      <c r="H803" s="8"/>
      <c r="I803" s="4"/>
    </row>
    <row r="804" spans="1:9" x14ac:dyDescent="0.2">
      <c r="A804" s="1" t="s">
        <v>34</v>
      </c>
      <c r="C804" s="4"/>
      <c r="D804" s="8"/>
      <c r="E804" s="4"/>
      <c r="F804" s="8"/>
      <c r="G804" s="4"/>
      <c r="H804" s="8"/>
      <c r="I804" s="4"/>
    </row>
    <row r="805" spans="1:9" x14ac:dyDescent="0.2">
      <c r="A805" s="2">
        <v>1</v>
      </c>
      <c r="B805" s="1" t="s">
        <v>80</v>
      </c>
      <c r="C805" s="4">
        <v>31</v>
      </c>
      <c r="D805" s="8">
        <v>11.19</v>
      </c>
      <c r="E805" s="4">
        <v>2</v>
      </c>
      <c r="F805" s="8">
        <v>2.27</v>
      </c>
      <c r="G805" s="4">
        <v>29</v>
      </c>
      <c r="H805" s="8">
        <v>15.43</v>
      </c>
      <c r="I805" s="4">
        <v>0</v>
      </c>
    </row>
    <row r="806" spans="1:9" x14ac:dyDescent="0.2">
      <c r="A806" s="2">
        <v>2</v>
      </c>
      <c r="B806" s="1" t="s">
        <v>83</v>
      </c>
      <c r="C806" s="4">
        <v>29</v>
      </c>
      <c r="D806" s="8">
        <v>10.47</v>
      </c>
      <c r="E806" s="4">
        <v>5</v>
      </c>
      <c r="F806" s="8">
        <v>5.68</v>
      </c>
      <c r="G806" s="4">
        <v>24</v>
      </c>
      <c r="H806" s="8">
        <v>12.77</v>
      </c>
      <c r="I806" s="4">
        <v>0</v>
      </c>
    </row>
    <row r="807" spans="1:9" x14ac:dyDescent="0.2">
      <c r="A807" s="2">
        <v>3</v>
      </c>
      <c r="B807" s="1" t="s">
        <v>85</v>
      </c>
      <c r="C807" s="4">
        <v>23</v>
      </c>
      <c r="D807" s="8">
        <v>8.3000000000000007</v>
      </c>
      <c r="E807" s="4">
        <v>17</v>
      </c>
      <c r="F807" s="8">
        <v>19.32</v>
      </c>
      <c r="G807" s="4">
        <v>6</v>
      </c>
      <c r="H807" s="8">
        <v>3.19</v>
      </c>
      <c r="I807" s="4">
        <v>0</v>
      </c>
    </row>
    <row r="808" spans="1:9" x14ac:dyDescent="0.2">
      <c r="A808" s="2">
        <v>4</v>
      </c>
      <c r="B808" s="1" t="s">
        <v>74</v>
      </c>
      <c r="C808" s="4">
        <v>21</v>
      </c>
      <c r="D808" s="8">
        <v>7.58</v>
      </c>
      <c r="E808" s="4">
        <v>5</v>
      </c>
      <c r="F808" s="8">
        <v>5.68</v>
      </c>
      <c r="G808" s="4">
        <v>16</v>
      </c>
      <c r="H808" s="8">
        <v>8.51</v>
      </c>
      <c r="I808" s="4">
        <v>0</v>
      </c>
    </row>
    <row r="809" spans="1:9" x14ac:dyDescent="0.2">
      <c r="A809" s="2">
        <v>5</v>
      </c>
      <c r="B809" s="1" t="s">
        <v>82</v>
      </c>
      <c r="C809" s="4">
        <v>17</v>
      </c>
      <c r="D809" s="8">
        <v>6.14</v>
      </c>
      <c r="E809" s="4">
        <v>7</v>
      </c>
      <c r="F809" s="8">
        <v>7.95</v>
      </c>
      <c r="G809" s="4">
        <v>10</v>
      </c>
      <c r="H809" s="8">
        <v>5.32</v>
      </c>
      <c r="I809" s="4">
        <v>0</v>
      </c>
    </row>
    <row r="810" spans="1:9" x14ac:dyDescent="0.2">
      <c r="A810" s="2">
        <v>5</v>
      </c>
      <c r="B810" s="1" t="s">
        <v>89</v>
      </c>
      <c r="C810" s="4">
        <v>17</v>
      </c>
      <c r="D810" s="8">
        <v>6.14</v>
      </c>
      <c r="E810" s="4">
        <v>12</v>
      </c>
      <c r="F810" s="8">
        <v>13.64</v>
      </c>
      <c r="G810" s="4">
        <v>5</v>
      </c>
      <c r="H810" s="8">
        <v>2.66</v>
      </c>
      <c r="I810" s="4">
        <v>0</v>
      </c>
    </row>
    <row r="811" spans="1:9" x14ac:dyDescent="0.2">
      <c r="A811" s="2">
        <v>7</v>
      </c>
      <c r="B811" s="1" t="s">
        <v>75</v>
      </c>
      <c r="C811" s="4">
        <v>10</v>
      </c>
      <c r="D811" s="8">
        <v>3.61</v>
      </c>
      <c r="E811" s="4">
        <v>4</v>
      </c>
      <c r="F811" s="8">
        <v>4.55</v>
      </c>
      <c r="G811" s="4">
        <v>6</v>
      </c>
      <c r="H811" s="8">
        <v>3.19</v>
      </c>
      <c r="I811" s="4">
        <v>0</v>
      </c>
    </row>
    <row r="812" spans="1:9" x14ac:dyDescent="0.2">
      <c r="A812" s="2">
        <v>7</v>
      </c>
      <c r="B812" s="1" t="s">
        <v>81</v>
      </c>
      <c r="C812" s="4">
        <v>10</v>
      </c>
      <c r="D812" s="8">
        <v>3.61</v>
      </c>
      <c r="E812" s="4">
        <v>6</v>
      </c>
      <c r="F812" s="8">
        <v>6.82</v>
      </c>
      <c r="G812" s="4">
        <v>4</v>
      </c>
      <c r="H812" s="8">
        <v>2.13</v>
      </c>
      <c r="I812" s="4">
        <v>0</v>
      </c>
    </row>
    <row r="813" spans="1:9" x14ac:dyDescent="0.2">
      <c r="A813" s="2">
        <v>9</v>
      </c>
      <c r="B813" s="1" t="s">
        <v>88</v>
      </c>
      <c r="C813" s="4">
        <v>9</v>
      </c>
      <c r="D813" s="8">
        <v>3.25</v>
      </c>
      <c r="E813" s="4">
        <v>5</v>
      </c>
      <c r="F813" s="8">
        <v>5.68</v>
      </c>
      <c r="G813" s="4">
        <v>4</v>
      </c>
      <c r="H813" s="8">
        <v>2.13</v>
      </c>
      <c r="I813" s="4">
        <v>0</v>
      </c>
    </row>
    <row r="814" spans="1:9" x14ac:dyDescent="0.2">
      <c r="A814" s="2">
        <v>10</v>
      </c>
      <c r="B814" s="1" t="s">
        <v>76</v>
      </c>
      <c r="C814" s="4">
        <v>8</v>
      </c>
      <c r="D814" s="8">
        <v>2.89</v>
      </c>
      <c r="E814" s="4">
        <v>4</v>
      </c>
      <c r="F814" s="8">
        <v>4.55</v>
      </c>
      <c r="G814" s="4">
        <v>4</v>
      </c>
      <c r="H814" s="8">
        <v>2.13</v>
      </c>
      <c r="I814" s="4">
        <v>0</v>
      </c>
    </row>
    <row r="815" spans="1:9" x14ac:dyDescent="0.2">
      <c r="A815" s="2">
        <v>10</v>
      </c>
      <c r="B815" s="1" t="s">
        <v>99</v>
      </c>
      <c r="C815" s="4">
        <v>8</v>
      </c>
      <c r="D815" s="8">
        <v>2.89</v>
      </c>
      <c r="E815" s="4">
        <v>0</v>
      </c>
      <c r="F815" s="8">
        <v>0</v>
      </c>
      <c r="G815" s="4">
        <v>8</v>
      </c>
      <c r="H815" s="8">
        <v>4.26</v>
      </c>
      <c r="I815" s="4">
        <v>0</v>
      </c>
    </row>
    <row r="816" spans="1:9" x14ac:dyDescent="0.2">
      <c r="A816" s="2">
        <v>12</v>
      </c>
      <c r="B816" s="1" t="s">
        <v>92</v>
      </c>
      <c r="C816" s="4">
        <v>7</v>
      </c>
      <c r="D816" s="8">
        <v>2.5299999999999998</v>
      </c>
      <c r="E816" s="4">
        <v>0</v>
      </c>
      <c r="F816" s="8">
        <v>0</v>
      </c>
      <c r="G816" s="4">
        <v>7</v>
      </c>
      <c r="H816" s="8">
        <v>3.72</v>
      </c>
      <c r="I816" s="4">
        <v>0</v>
      </c>
    </row>
    <row r="817" spans="1:9" x14ac:dyDescent="0.2">
      <c r="A817" s="2">
        <v>13</v>
      </c>
      <c r="B817" s="1" t="s">
        <v>84</v>
      </c>
      <c r="C817" s="4">
        <v>6</v>
      </c>
      <c r="D817" s="8">
        <v>2.17</v>
      </c>
      <c r="E817" s="4">
        <v>1</v>
      </c>
      <c r="F817" s="8">
        <v>1.1399999999999999</v>
      </c>
      <c r="G817" s="4">
        <v>5</v>
      </c>
      <c r="H817" s="8">
        <v>2.66</v>
      </c>
      <c r="I817" s="4">
        <v>0</v>
      </c>
    </row>
    <row r="818" spans="1:9" x14ac:dyDescent="0.2">
      <c r="A818" s="2">
        <v>13</v>
      </c>
      <c r="B818" s="1" t="s">
        <v>86</v>
      </c>
      <c r="C818" s="4">
        <v>6</v>
      </c>
      <c r="D818" s="8">
        <v>2.17</v>
      </c>
      <c r="E818" s="4">
        <v>1</v>
      </c>
      <c r="F818" s="8">
        <v>1.1399999999999999</v>
      </c>
      <c r="G818" s="4">
        <v>5</v>
      </c>
      <c r="H818" s="8">
        <v>2.66</v>
      </c>
      <c r="I818" s="4">
        <v>0</v>
      </c>
    </row>
    <row r="819" spans="1:9" x14ac:dyDescent="0.2">
      <c r="A819" s="2">
        <v>13</v>
      </c>
      <c r="B819" s="1" t="s">
        <v>97</v>
      </c>
      <c r="C819" s="4">
        <v>6</v>
      </c>
      <c r="D819" s="8">
        <v>2.17</v>
      </c>
      <c r="E819" s="4">
        <v>0</v>
      </c>
      <c r="F819" s="8">
        <v>0</v>
      </c>
      <c r="G819" s="4">
        <v>6</v>
      </c>
      <c r="H819" s="8">
        <v>3.19</v>
      </c>
      <c r="I819" s="4">
        <v>0</v>
      </c>
    </row>
    <row r="820" spans="1:9" x14ac:dyDescent="0.2">
      <c r="A820" s="2">
        <v>16</v>
      </c>
      <c r="B820" s="1" t="s">
        <v>90</v>
      </c>
      <c r="C820" s="4">
        <v>5</v>
      </c>
      <c r="D820" s="8">
        <v>1.81</v>
      </c>
      <c r="E820" s="4">
        <v>4</v>
      </c>
      <c r="F820" s="8">
        <v>4.55</v>
      </c>
      <c r="G820" s="4">
        <v>1</v>
      </c>
      <c r="H820" s="8">
        <v>0.53</v>
      </c>
      <c r="I820" s="4">
        <v>0</v>
      </c>
    </row>
    <row r="821" spans="1:9" x14ac:dyDescent="0.2">
      <c r="A821" s="2">
        <v>17</v>
      </c>
      <c r="B821" s="1" t="s">
        <v>77</v>
      </c>
      <c r="C821" s="4">
        <v>4</v>
      </c>
      <c r="D821" s="8">
        <v>1.44</v>
      </c>
      <c r="E821" s="4">
        <v>0</v>
      </c>
      <c r="F821" s="8">
        <v>0</v>
      </c>
      <c r="G821" s="4">
        <v>4</v>
      </c>
      <c r="H821" s="8">
        <v>2.13</v>
      </c>
      <c r="I821" s="4">
        <v>0</v>
      </c>
    </row>
    <row r="822" spans="1:9" x14ac:dyDescent="0.2">
      <c r="A822" s="2">
        <v>17</v>
      </c>
      <c r="B822" s="1" t="s">
        <v>78</v>
      </c>
      <c r="C822" s="4">
        <v>4</v>
      </c>
      <c r="D822" s="8">
        <v>1.44</v>
      </c>
      <c r="E822" s="4">
        <v>1</v>
      </c>
      <c r="F822" s="8">
        <v>1.1399999999999999</v>
      </c>
      <c r="G822" s="4">
        <v>3</v>
      </c>
      <c r="H822" s="8">
        <v>1.6</v>
      </c>
      <c r="I822" s="4">
        <v>0</v>
      </c>
    </row>
    <row r="823" spans="1:9" x14ac:dyDescent="0.2">
      <c r="A823" s="2">
        <v>17</v>
      </c>
      <c r="B823" s="1" t="s">
        <v>98</v>
      </c>
      <c r="C823" s="4">
        <v>4</v>
      </c>
      <c r="D823" s="8">
        <v>1.44</v>
      </c>
      <c r="E823" s="4">
        <v>1</v>
      </c>
      <c r="F823" s="8">
        <v>1.1399999999999999</v>
      </c>
      <c r="G823" s="4">
        <v>3</v>
      </c>
      <c r="H823" s="8">
        <v>1.6</v>
      </c>
      <c r="I823" s="4">
        <v>0</v>
      </c>
    </row>
    <row r="824" spans="1:9" x14ac:dyDescent="0.2">
      <c r="A824" s="2">
        <v>17</v>
      </c>
      <c r="B824" s="1" t="s">
        <v>117</v>
      </c>
      <c r="C824" s="4">
        <v>4</v>
      </c>
      <c r="D824" s="8">
        <v>1.44</v>
      </c>
      <c r="E824" s="4">
        <v>0</v>
      </c>
      <c r="F824" s="8">
        <v>0</v>
      </c>
      <c r="G824" s="4">
        <v>4</v>
      </c>
      <c r="H824" s="8">
        <v>2.13</v>
      </c>
      <c r="I824" s="4">
        <v>0</v>
      </c>
    </row>
    <row r="825" spans="1:9" x14ac:dyDescent="0.2">
      <c r="A825" s="2">
        <v>17</v>
      </c>
      <c r="B825" s="1" t="s">
        <v>87</v>
      </c>
      <c r="C825" s="4">
        <v>4</v>
      </c>
      <c r="D825" s="8">
        <v>1.44</v>
      </c>
      <c r="E825" s="4">
        <v>1</v>
      </c>
      <c r="F825" s="8">
        <v>1.1399999999999999</v>
      </c>
      <c r="G825" s="4">
        <v>3</v>
      </c>
      <c r="H825" s="8">
        <v>1.6</v>
      </c>
      <c r="I825" s="4">
        <v>0</v>
      </c>
    </row>
    <row r="826" spans="1:9" x14ac:dyDescent="0.2">
      <c r="A826" s="2">
        <v>17</v>
      </c>
      <c r="B826" s="1" t="s">
        <v>93</v>
      </c>
      <c r="C826" s="4">
        <v>4</v>
      </c>
      <c r="D826" s="8">
        <v>1.44</v>
      </c>
      <c r="E826" s="4">
        <v>3</v>
      </c>
      <c r="F826" s="8">
        <v>3.41</v>
      </c>
      <c r="G826" s="4">
        <v>1</v>
      </c>
      <c r="H826" s="8">
        <v>0.53</v>
      </c>
      <c r="I826" s="4">
        <v>0</v>
      </c>
    </row>
    <row r="827" spans="1:9" x14ac:dyDescent="0.2">
      <c r="A827" s="2">
        <v>17</v>
      </c>
      <c r="B827" s="1" t="s">
        <v>95</v>
      </c>
      <c r="C827" s="4">
        <v>4</v>
      </c>
      <c r="D827" s="8">
        <v>1.44</v>
      </c>
      <c r="E827" s="4">
        <v>0</v>
      </c>
      <c r="F827" s="8">
        <v>0</v>
      </c>
      <c r="G827" s="4">
        <v>4</v>
      </c>
      <c r="H827" s="8">
        <v>2.13</v>
      </c>
      <c r="I827" s="4">
        <v>0</v>
      </c>
    </row>
    <row r="828" spans="1:9" x14ac:dyDescent="0.2">
      <c r="A828" s="1"/>
      <c r="C828" s="4"/>
      <c r="D828" s="8"/>
      <c r="E828" s="4"/>
      <c r="F828" s="8"/>
      <c r="G828" s="4"/>
      <c r="H828" s="8"/>
      <c r="I828" s="4"/>
    </row>
    <row r="829" spans="1:9" x14ac:dyDescent="0.2">
      <c r="A829" s="1" t="s">
        <v>35</v>
      </c>
      <c r="C829" s="4"/>
      <c r="D829" s="8"/>
      <c r="E829" s="4"/>
      <c r="F829" s="8"/>
      <c r="G829" s="4"/>
      <c r="H829" s="8"/>
      <c r="I829" s="4"/>
    </row>
    <row r="830" spans="1:9" x14ac:dyDescent="0.2">
      <c r="A830" s="2">
        <v>1</v>
      </c>
      <c r="B830" s="1" t="s">
        <v>74</v>
      </c>
      <c r="C830" s="4">
        <v>68</v>
      </c>
      <c r="D830" s="8">
        <v>12.57</v>
      </c>
      <c r="E830" s="4">
        <v>19</v>
      </c>
      <c r="F830" s="8">
        <v>7.34</v>
      </c>
      <c r="G830" s="4">
        <v>49</v>
      </c>
      <c r="H830" s="8">
        <v>17.63</v>
      </c>
      <c r="I830" s="4">
        <v>0</v>
      </c>
    </row>
    <row r="831" spans="1:9" x14ac:dyDescent="0.2">
      <c r="A831" s="2">
        <v>2</v>
      </c>
      <c r="B831" s="1" t="s">
        <v>75</v>
      </c>
      <c r="C831" s="4">
        <v>48</v>
      </c>
      <c r="D831" s="8">
        <v>8.8699999999999992</v>
      </c>
      <c r="E831" s="4">
        <v>21</v>
      </c>
      <c r="F831" s="8">
        <v>8.11</v>
      </c>
      <c r="G831" s="4">
        <v>27</v>
      </c>
      <c r="H831" s="8">
        <v>9.7100000000000009</v>
      </c>
      <c r="I831" s="4">
        <v>0</v>
      </c>
    </row>
    <row r="832" spans="1:9" x14ac:dyDescent="0.2">
      <c r="A832" s="2">
        <v>3</v>
      </c>
      <c r="B832" s="1" t="s">
        <v>89</v>
      </c>
      <c r="C832" s="4">
        <v>43</v>
      </c>
      <c r="D832" s="8">
        <v>7.95</v>
      </c>
      <c r="E832" s="4">
        <v>39</v>
      </c>
      <c r="F832" s="8">
        <v>15.06</v>
      </c>
      <c r="G832" s="4">
        <v>4</v>
      </c>
      <c r="H832" s="8">
        <v>1.44</v>
      </c>
      <c r="I832" s="4">
        <v>0</v>
      </c>
    </row>
    <row r="833" spans="1:9" x14ac:dyDescent="0.2">
      <c r="A833" s="2">
        <v>4</v>
      </c>
      <c r="B833" s="1" t="s">
        <v>83</v>
      </c>
      <c r="C833" s="4">
        <v>29</v>
      </c>
      <c r="D833" s="8">
        <v>5.36</v>
      </c>
      <c r="E833" s="4">
        <v>9</v>
      </c>
      <c r="F833" s="8">
        <v>3.47</v>
      </c>
      <c r="G833" s="4">
        <v>20</v>
      </c>
      <c r="H833" s="8">
        <v>7.19</v>
      </c>
      <c r="I833" s="4">
        <v>0</v>
      </c>
    </row>
    <row r="834" spans="1:9" x14ac:dyDescent="0.2">
      <c r="A834" s="2">
        <v>5</v>
      </c>
      <c r="B834" s="1" t="s">
        <v>76</v>
      </c>
      <c r="C834" s="4">
        <v>25</v>
      </c>
      <c r="D834" s="8">
        <v>4.62</v>
      </c>
      <c r="E834" s="4">
        <v>8</v>
      </c>
      <c r="F834" s="8">
        <v>3.09</v>
      </c>
      <c r="G834" s="4">
        <v>17</v>
      </c>
      <c r="H834" s="8">
        <v>6.12</v>
      </c>
      <c r="I834" s="4">
        <v>0</v>
      </c>
    </row>
    <row r="835" spans="1:9" x14ac:dyDescent="0.2">
      <c r="A835" s="2">
        <v>6</v>
      </c>
      <c r="B835" s="1" t="s">
        <v>85</v>
      </c>
      <c r="C835" s="4">
        <v>23</v>
      </c>
      <c r="D835" s="8">
        <v>4.25</v>
      </c>
      <c r="E835" s="4">
        <v>7</v>
      </c>
      <c r="F835" s="8">
        <v>2.7</v>
      </c>
      <c r="G835" s="4">
        <v>15</v>
      </c>
      <c r="H835" s="8">
        <v>5.4</v>
      </c>
      <c r="I835" s="4">
        <v>0</v>
      </c>
    </row>
    <row r="836" spans="1:9" x14ac:dyDescent="0.2">
      <c r="A836" s="2">
        <v>7</v>
      </c>
      <c r="B836" s="1" t="s">
        <v>82</v>
      </c>
      <c r="C836" s="4">
        <v>22</v>
      </c>
      <c r="D836" s="8">
        <v>4.07</v>
      </c>
      <c r="E836" s="4">
        <v>17</v>
      </c>
      <c r="F836" s="8">
        <v>6.56</v>
      </c>
      <c r="G836" s="4">
        <v>5</v>
      </c>
      <c r="H836" s="8">
        <v>1.8</v>
      </c>
      <c r="I836" s="4">
        <v>0</v>
      </c>
    </row>
    <row r="837" spans="1:9" x14ac:dyDescent="0.2">
      <c r="A837" s="2">
        <v>8</v>
      </c>
      <c r="B837" s="1" t="s">
        <v>86</v>
      </c>
      <c r="C837" s="4">
        <v>21</v>
      </c>
      <c r="D837" s="8">
        <v>3.88</v>
      </c>
      <c r="E837" s="4">
        <v>15</v>
      </c>
      <c r="F837" s="8">
        <v>5.79</v>
      </c>
      <c r="G837" s="4">
        <v>6</v>
      </c>
      <c r="H837" s="8">
        <v>2.16</v>
      </c>
      <c r="I837" s="4">
        <v>0</v>
      </c>
    </row>
    <row r="838" spans="1:9" x14ac:dyDescent="0.2">
      <c r="A838" s="2">
        <v>8</v>
      </c>
      <c r="B838" s="1" t="s">
        <v>90</v>
      </c>
      <c r="C838" s="4">
        <v>21</v>
      </c>
      <c r="D838" s="8">
        <v>3.88</v>
      </c>
      <c r="E838" s="4">
        <v>18</v>
      </c>
      <c r="F838" s="8">
        <v>6.95</v>
      </c>
      <c r="G838" s="4">
        <v>3</v>
      </c>
      <c r="H838" s="8">
        <v>1.08</v>
      </c>
      <c r="I838" s="4">
        <v>0</v>
      </c>
    </row>
    <row r="839" spans="1:9" x14ac:dyDescent="0.2">
      <c r="A839" s="2">
        <v>10</v>
      </c>
      <c r="B839" s="1" t="s">
        <v>88</v>
      </c>
      <c r="C839" s="4">
        <v>20</v>
      </c>
      <c r="D839" s="8">
        <v>3.7</v>
      </c>
      <c r="E839" s="4">
        <v>18</v>
      </c>
      <c r="F839" s="8">
        <v>6.95</v>
      </c>
      <c r="G839" s="4">
        <v>2</v>
      </c>
      <c r="H839" s="8">
        <v>0.72</v>
      </c>
      <c r="I839" s="4">
        <v>0</v>
      </c>
    </row>
    <row r="840" spans="1:9" x14ac:dyDescent="0.2">
      <c r="A840" s="2">
        <v>11</v>
      </c>
      <c r="B840" s="1" t="s">
        <v>91</v>
      </c>
      <c r="C840" s="4">
        <v>19</v>
      </c>
      <c r="D840" s="8">
        <v>3.51</v>
      </c>
      <c r="E840" s="4">
        <v>18</v>
      </c>
      <c r="F840" s="8">
        <v>6.95</v>
      </c>
      <c r="G840" s="4">
        <v>1</v>
      </c>
      <c r="H840" s="8">
        <v>0.36</v>
      </c>
      <c r="I840" s="4">
        <v>0</v>
      </c>
    </row>
    <row r="841" spans="1:9" x14ac:dyDescent="0.2">
      <c r="A841" s="2">
        <v>12</v>
      </c>
      <c r="B841" s="1" t="s">
        <v>93</v>
      </c>
      <c r="C841" s="4">
        <v>16</v>
      </c>
      <c r="D841" s="8">
        <v>2.96</v>
      </c>
      <c r="E841" s="4">
        <v>13</v>
      </c>
      <c r="F841" s="8">
        <v>5.0199999999999996</v>
      </c>
      <c r="G841" s="4">
        <v>3</v>
      </c>
      <c r="H841" s="8">
        <v>1.08</v>
      </c>
      <c r="I841" s="4">
        <v>0</v>
      </c>
    </row>
    <row r="842" spans="1:9" x14ac:dyDescent="0.2">
      <c r="A842" s="2">
        <v>13</v>
      </c>
      <c r="B842" s="1" t="s">
        <v>81</v>
      </c>
      <c r="C842" s="4">
        <v>14</v>
      </c>
      <c r="D842" s="8">
        <v>2.59</v>
      </c>
      <c r="E842" s="4">
        <v>11</v>
      </c>
      <c r="F842" s="8">
        <v>4.25</v>
      </c>
      <c r="G842" s="4">
        <v>3</v>
      </c>
      <c r="H842" s="8">
        <v>1.08</v>
      </c>
      <c r="I842" s="4">
        <v>0</v>
      </c>
    </row>
    <row r="843" spans="1:9" x14ac:dyDescent="0.2">
      <c r="A843" s="2">
        <v>14</v>
      </c>
      <c r="B843" s="1" t="s">
        <v>79</v>
      </c>
      <c r="C843" s="4">
        <v>13</v>
      </c>
      <c r="D843" s="8">
        <v>2.4</v>
      </c>
      <c r="E843" s="4">
        <v>0</v>
      </c>
      <c r="F843" s="8">
        <v>0</v>
      </c>
      <c r="G843" s="4">
        <v>13</v>
      </c>
      <c r="H843" s="8">
        <v>4.68</v>
      </c>
      <c r="I843" s="4">
        <v>0</v>
      </c>
    </row>
    <row r="844" spans="1:9" x14ac:dyDescent="0.2">
      <c r="A844" s="2">
        <v>14</v>
      </c>
      <c r="B844" s="1" t="s">
        <v>84</v>
      </c>
      <c r="C844" s="4">
        <v>13</v>
      </c>
      <c r="D844" s="8">
        <v>2.4</v>
      </c>
      <c r="E844" s="4">
        <v>3</v>
      </c>
      <c r="F844" s="8">
        <v>1.1599999999999999</v>
      </c>
      <c r="G844" s="4">
        <v>9</v>
      </c>
      <c r="H844" s="8">
        <v>3.24</v>
      </c>
      <c r="I844" s="4">
        <v>1</v>
      </c>
    </row>
    <row r="845" spans="1:9" x14ac:dyDescent="0.2">
      <c r="A845" s="2">
        <v>16</v>
      </c>
      <c r="B845" s="1" t="s">
        <v>94</v>
      </c>
      <c r="C845" s="4">
        <v>9</v>
      </c>
      <c r="D845" s="8">
        <v>1.66</v>
      </c>
      <c r="E845" s="4">
        <v>3</v>
      </c>
      <c r="F845" s="8">
        <v>1.1599999999999999</v>
      </c>
      <c r="G845" s="4">
        <v>6</v>
      </c>
      <c r="H845" s="8">
        <v>2.16</v>
      </c>
      <c r="I845" s="4">
        <v>0</v>
      </c>
    </row>
    <row r="846" spans="1:9" x14ac:dyDescent="0.2">
      <c r="A846" s="2">
        <v>16</v>
      </c>
      <c r="B846" s="1" t="s">
        <v>97</v>
      </c>
      <c r="C846" s="4">
        <v>9</v>
      </c>
      <c r="D846" s="8">
        <v>1.66</v>
      </c>
      <c r="E846" s="4">
        <v>4</v>
      </c>
      <c r="F846" s="8">
        <v>1.54</v>
      </c>
      <c r="G846" s="4">
        <v>4</v>
      </c>
      <c r="H846" s="8">
        <v>1.44</v>
      </c>
      <c r="I846" s="4">
        <v>0</v>
      </c>
    </row>
    <row r="847" spans="1:9" x14ac:dyDescent="0.2">
      <c r="A847" s="2">
        <v>18</v>
      </c>
      <c r="B847" s="1" t="s">
        <v>98</v>
      </c>
      <c r="C847" s="4">
        <v>8</v>
      </c>
      <c r="D847" s="8">
        <v>1.48</v>
      </c>
      <c r="E847" s="4">
        <v>4</v>
      </c>
      <c r="F847" s="8">
        <v>1.54</v>
      </c>
      <c r="G847" s="4">
        <v>4</v>
      </c>
      <c r="H847" s="8">
        <v>1.44</v>
      </c>
      <c r="I847" s="4">
        <v>0</v>
      </c>
    </row>
    <row r="848" spans="1:9" x14ac:dyDescent="0.2">
      <c r="A848" s="2">
        <v>18</v>
      </c>
      <c r="B848" s="1" t="s">
        <v>87</v>
      </c>
      <c r="C848" s="4">
        <v>8</v>
      </c>
      <c r="D848" s="8">
        <v>1.48</v>
      </c>
      <c r="E848" s="4">
        <v>2</v>
      </c>
      <c r="F848" s="8">
        <v>0.77</v>
      </c>
      <c r="G848" s="4">
        <v>6</v>
      </c>
      <c r="H848" s="8">
        <v>2.16</v>
      </c>
      <c r="I848" s="4">
        <v>0</v>
      </c>
    </row>
    <row r="849" spans="1:9" x14ac:dyDescent="0.2">
      <c r="A849" s="2">
        <v>20</v>
      </c>
      <c r="B849" s="1" t="s">
        <v>99</v>
      </c>
      <c r="C849" s="4">
        <v>7</v>
      </c>
      <c r="D849" s="8">
        <v>1.29</v>
      </c>
      <c r="E849" s="4">
        <v>3</v>
      </c>
      <c r="F849" s="8">
        <v>1.1599999999999999</v>
      </c>
      <c r="G849" s="4">
        <v>4</v>
      </c>
      <c r="H849" s="8">
        <v>1.44</v>
      </c>
      <c r="I849" s="4">
        <v>0</v>
      </c>
    </row>
    <row r="850" spans="1:9" x14ac:dyDescent="0.2">
      <c r="A850" s="2">
        <v>20</v>
      </c>
      <c r="B850" s="1" t="s">
        <v>92</v>
      </c>
      <c r="C850" s="4">
        <v>7</v>
      </c>
      <c r="D850" s="8">
        <v>1.29</v>
      </c>
      <c r="E850" s="4">
        <v>0</v>
      </c>
      <c r="F850" s="8">
        <v>0</v>
      </c>
      <c r="G850" s="4">
        <v>7</v>
      </c>
      <c r="H850" s="8">
        <v>2.52</v>
      </c>
      <c r="I850" s="4">
        <v>0</v>
      </c>
    </row>
    <row r="851" spans="1:9" x14ac:dyDescent="0.2">
      <c r="A851" s="2">
        <v>20</v>
      </c>
      <c r="B851" s="1" t="s">
        <v>95</v>
      </c>
      <c r="C851" s="4">
        <v>7</v>
      </c>
      <c r="D851" s="8">
        <v>1.29</v>
      </c>
      <c r="E851" s="4">
        <v>0</v>
      </c>
      <c r="F851" s="8">
        <v>0</v>
      </c>
      <c r="G851" s="4">
        <v>6</v>
      </c>
      <c r="H851" s="8">
        <v>2.16</v>
      </c>
      <c r="I851" s="4">
        <v>1</v>
      </c>
    </row>
    <row r="852" spans="1:9" x14ac:dyDescent="0.2">
      <c r="A852" s="1"/>
      <c r="C852" s="4"/>
      <c r="D852" s="8"/>
      <c r="E852" s="4"/>
      <c r="F852" s="8"/>
      <c r="G852" s="4"/>
      <c r="H852" s="8"/>
      <c r="I852" s="4"/>
    </row>
    <row r="853" spans="1:9" x14ac:dyDescent="0.2">
      <c r="A853" s="1" t="s">
        <v>36</v>
      </c>
      <c r="C853" s="4"/>
      <c r="D853" s="8"/>
      <c r="E853" s="4"/>
      <c r="F853" s="8"/>
      <c r="G853" s="4"/>
      <c r="H853" s="8"/>
      <c r="I853" s="4"/>
    </row>
    <row r="854" spans="1:9" x14ac:dyDescent="0.2">
      <c r="A854" s="2">
        <v>1</v>
      </c>
      <c r="B854" s="1" t="s">
        <v>89</v>
      </c>
      <c r="C854" s="4">
        <v>31</v>
      </c>
      <c r="D854" s="8">
        <v>10.69</v>
      </c>
      <c r="E854" s="4">
        <v>30</v>
      </c>
      <c r="F854" s="8">
        <v>19.48</v>
      </c>
      <c r="G854" s="4">
        <v>1</v>
      </c>
      <c r="H854" s="8">
        <v>0.74</v>
      </c>
      <c r="I854" s="4">
        <v>0</v>
      </c>
    </row>
    <row r="855" spans="1:9" x14ac:dyDescent="0.2">
      <c r="A855" s="2">
        <v>2</v>
      </c>
      <c r="B855" s="1" t="s">
        <v>74</v>
      </c>
      <c r="C855" s="4">
        <v>30</v>
      </c>
      <c r="D855" s="8">
        <v>10.34</v>
      </c>
      <c r="E855" s="4">
        <v>7</v>
      </c>
      <c r="F855" s="8">
        <v>4.55</v>
      </c>
      <c r="G855" s="4">
        <v>23</v>
      </c>
      <c r="H855" s="8">
        <v>16.91</v>
      </c>
      <c r="I855" s="4">
        <v>0</v>
      </c>
    </row>
    <row r="856" spans="1:9" x14ac:dyDescent="0.2">
      <c r="A856" s="2">
        <v>2</v>
      </c>
      <c r="B856" s="1" t="s">
        <v>75</v>
      </c>
      <c r="C856" s="4">
        <v>30</v>
      </c>
      <c r="D856" s="8">
        <v>10.34</v>
      </c>
      <c r="E856" s="4">
        <v>16</v>
      </c>
      <c r="F856" s="8">
        <v>10.39</v>
      </c>
      <c r="G856" s="4">
        <v>14</v>
      </c>
      <c r="H856" s="8">
        <v>10.29</v>
      </c>
      <c r="I856" s="4">
        <v>0</v>
      </c>
    </row>
    <row r="857" spans="1:9" x14ac:dyDescent="0.2">
      <c r="A857" s="2">
        <v>4</v>
      </c>
      <c r="B857" s="1" t="s">
        <v>83</v>
      </c>
      <c r="C857" s="4">
        <v>28</v>
      </c>
      <c r="D857" s="8">
        <v>9.66</v>
      </c>
      <c r="E857" s="4">
        <v>19</v>
      </c>
      <c r="F857" s="8">
        <v>12.34</v>
      </c>
      <c r="G857" s="4">
        <v>9</v>
      </c>
      <c r="H857" s="8">
        <v>6.62</v>
      </c>
      <c r="I857" s="4">
        <v>0</v>
      </c>
    </row>
    <row r="858" spans="1:9" x14ac:dyDescent="0.2">
      <c r="A858" s="2">
        <v>5</v>
      </c>
      <c r="B858" s="1" t="s">
        <v>81</v>
      </c>
      <c r="C858" s="4">
        <v>15</v>
      </c>
      <c r="D858" s="8">
        <v>5.17</v>
      </c>
      <c r="E858" s="4">
        <v>12</v>
      </c>
      <c r="F858" s="8">
        <v>7.79</v>
      </c>
      <c r="G858" s="4">
        <v>3</v>
      </c>
      <c r="H858" s="8">
        <v>2.21</v>
      </c>
      <c r="I858" s="4">
        <v>0</v>
      </c>
    </row>
    <row r="859" spans="1:9" x14ac:dyDescent="0.2">
      <c r="A859" s="2">
        <v>6</v>
      </c>
      <c r="B859" s="1" t="s">
        <v>76</v>
      </c>
      <c r="C859" s="4">
        <v>13</v>
      </c>
      <c r="D859" s="8">
        <v>4.4800000000000004</v>
      </c>
      <c r="E859" s="4">
        <v>6</v>
      </c>
      <c r="F859" s="8">
        <v>3.9</v>
      </c>
      <c r="G859" s="4">
        <v>7</v>
      </c>
      <c r="H859" s="8">
        <v>5.15</v>
      </c>
      <c r="I859" s="4">
        <v>0</v>
      </c>
    </row>
    <row r="860" spans="1:9" x14ac:dyDescent="0.2">
      <c r="A860" s="2">
        <v>6</v>
      </c>
      <c r="B860" s="1" t="s">
        <v>82</v>
      </c>
      <c r="C860" s="4">
        <v>13</v>
      </c>
      <c r="D860" s="8">
        <v>4.4800000000000004</v>
      </c>
      <c r="E860" s="4">
        <v>10</v>
      </c>
      <c r="F860" s="8">
        <v>6.49</v>
      </c>
      <c r="G860" s="4">
        <v>3</v>
      </c>
      <c r="H860" s="8">
        <v>2.21</v>
      </c>
      <c r="I860" s="4">
        <v>0</v>
      </c>
    </row>
    <row r="861" spans="1:9" x14ac:dyDescent="0.2">
      <c r="A861" s="2">
        <v>6</v>
      </c>
      <c r="B861" s="1" t="s">
        <v>88</v>
      </c>
      <c r="C861" s="4">
        <v>13</v>
      </c>
      <c r="D861" s="8">
        <v>4.4800000000000004</v>
      </c>
      <c r="E861" s="4">
        <v>11</v>
      </c>
      <c r="F861" s="8">
        <v>7.14</v>
      </c>
      <c r="G861" s="4">
        <v>2</v>
      </c>
      <c r="H861" s="8">
        <v>1.47</v>
      </c>
      <c r="I861" s="4">
        <v>0</v>
      </c>
    </row>
    <row r="862" spans="1:9" x14ac:dyDescent="0.2">
      <c r="A862" s="2">
        <v>9</v>
      </c>
      <c r="B862" s="1" t="s">
        <v>85</v>
      </c>
      <c r="C862" s="4">
        <v>10</v>
      </c>
      <c r="D862" s="8">
        <v>3.45</v>
      </c>
      <c r="E862" s="4">
        <v>6</v>
      </c>
      <c r="F862" s="8">
        <v>3.9</v>
      </c>
      <c r="G862" s="4">
        <v>4</v>
      </c>
      <c r="H862" s="8">
        <v>2.94</v>
      </c>
      <c r="I862" s="4">
        <v>0</v>
      </c>
    </row>
    <row r="863" spans="1:9" x14ac:dyDescent="0.2">
      <c r="A863" s="2">
        <v>9</v>
      </c>
      <c r="B863" s="1" t="s">
        <v>92</v>
      </c>
      <c r="C863" s="4">
        <v>10</v>
      </c>
      <c r="D863" s="8">
        <v>3.45</v>
      </c>
      <c r="E863" s="4">
        <v>0</v>
      </c>
      <c r="F863" s="8">
        <v>0</v>
      </c>
      <c r="G863" s="4">
        <v>10</v>
      </c>
      <c r="H863" s="8">
        <v>7.35</v>
      </c>
      <c r="I863" s="4">
        <v>0</v>
      </c>
    </row>
    <row r="864" spans="1:9" x14ac:dyDescent="0.2">
      <c r="A864" s="2">
        <v>9</v>
      </c>
      <c r="B864" s="1" t="s">
        <v>93</v>
      </c>
      <c r="C864" s="4">
        <v>10</v>
      </c>
      <c r="D864" s="8">
        <v>3.45</v>
      </c>
      <c r="E864" s="4">
        <v>8</v>
      </c>
      <c r="F864" s="8">
        <v>5.19</v>
      </c>
      <c r="G864" s="4">
        <v>2</v>
      </c>
      <c r="H864" s="8">
        <v>1.47</v>
      </c>
      <c r="I864" s="4">
        <v>0</v>
      </c>
    </row>
    <row r="865" spans="1:9" x14ac:dyDescent="0.2">
      <c r="A865" s="2">
        <v>12</v>
      </c>
      <c r="B865" s="1" t="s">
        <v>102</v>
      </c>
      <c r="C865" s="4">
        <v>7</v>
      </c>
      <c r="D865" s="8">
        <v>2.41</v>
      </c>
      <c r="E865" s="4">
        <v>2</v>
      </c>
      <c r="F865" s="8">
        <v>1.3</v>
      </c>
      <c r="G865" s="4">
        <v>5</v>
      </c>
      <c r="H865" s="8">
        <v>3.68</v>
      </c>
      <c r="I865" s="4">
        <v>0</v>
      </c>
    </row>
    <row r="866" spans="1:9" x14ac:dyDescent="0.2">
      <c r="A866" s="2">
        <v>12</v>
      </c>
      <c r="B866" s="1" t="s">
        <v>99</v>
      </c>
      <c r="C866" s="4">
        <v>7</v>
      </c>
      <c r="D866" s="8">
        <v>2.41</v>
      </c>
      <c r="E866" s="4">
        <v>2</v>
      </c>
      <c r="F866" s="8">
        <v>1.3</v>
      </c>
      <c r="G866" s="4">
        <v>5</v>
      </c>
      <c r="H866" s="8">
        <v>3.68</v>
      </c>
      <c r="I866" s="4">
        <v>0</v>
      </c>
    </row>
    <row r="867" spans="1:9" x14ac:dyDescent="0.2">
      <c r="A867" s="2">
        <v>14</v>
      </c>
      <c r="B867" s="1" t="s">
        <v>78</v>
      </c>
      <c r="C867" s="4">
        <v>6</v>
      </c>
      <c r="D867" s="8">
        <v>2.0699999999999998</v>
      </c>
      <c r="E867" s="4">
        <v>0</v>
      </c>
      <c r="F867" s="8">
        <v>0</v>
      </c>
      <c r="G867" s="4">
        <v>6</v>
      </c>
      <c r="H867" s="8">
        <v>4.41</v>
      </c>
      <c r="I867" s="4">
        <v>0</v>
      </c>
    </row>
    <row r="868" spans="1:9" x14ac:dyDescent="0.2">
      <c r="A868" s="2">
        <v>15</v>
      </c>
      <c r="B868" s="1" t="s">
        <v>77</v>
      </c>
      <c r="C868" s="4">
        <v>5</v>
      </c>
      <c r="D868" s="8">
        <v>1.72</v>
      </c>
      <c r="E868" s="4">
        <v>1</v>
      </c>
      <c r="F868" s="8">
        <v>0.65</v>
      </c>
      <c r="G868" s="4">
        <v>4</v>
      </c>
      <c r="H868" s="8">
        <v>2.94</v>
      </c>
      <c r="I868" s="4">
        <v>0</v>
      </c>
    </row>
    <row r="869" spans="1:9" x14ac:dyDescent="0.2">
      <c r="A869" s="2">
        <v>15</v>
      </c>
      <c r="B869" s="1" t="s">
        <v>94</v>
      </c>
      <c r="C869" s="4">
        <v>5</v>
      </c>
      <c r="D869" s="8">
        <v>1.72</v>
      </c>
      <c r="E869" s="4">
        <v>3</v>
      </c>
      <c r="F869" s="8">
        <v>1.95</v>
      </c>
      <c r="G869" s="4">
        <v>2</v>
      </c>
      <c r="H869" s="8">
        <v>1.47</v>
      </c>
      <c r="I869" s="4">
        <v>0</v>
      </c>
    </row>
    <row r="870" spans="1:9" x14ac:dyDescent="0.2">
      <c r="A870" s="2">
        <v>15</v>
      </c>
      <c r="B870" s="1" t="s">
        <v>87</v>
      </c>
      <c r="C870" s="4">
        <v>5</v>
      </c>
      <c r="D870" s="8">
        <v>1.72</v>
      </c>
      <c r="E870" s="4">
        <v>2</v>
      </c>
      <c r="F870" s="8">
        <v>1.3</v>
      </c>
      <c r="G870" s="4">
        <v>3</v>
      </c>
      <c r="H870" s="8">
        <v>2.21</v>
      </c>
      <c r="I870" s="4">
        <v>0</v>
      </c>
    </row>
    <row r="871" spans="1:9" x14ac:dyDescent="0.2">
      <c r="A871" s="2">
        <v>18</v>
      </c>
      <c r="B871" s="1" t="s">
        <v>110</v>
      </c>
      <c r="C871" s="4">
        <v>4</v>
      </c>
      <c r="D871" s="8">
        <v>1.38</v>
      </c>
      <c r="E871" s="4">
        <v>4</v>
      </c>
      <c r="F871" s="8">
        <v>2.6</v>
      </c>
      <c r="G871" s="4">
        <v>0</v>
      </c>
      <c r="H871" s="8">
        <v>0</v>
      </c>
      <c r="I871" s="4">
        <v>0</v>
      </c>
    </row>
    <row r="872" spans="1:9" x14ac:dyDescent="0.2">
      <c r="A872" s="2">
        <v>18</v>
      </c>
      <c r="B872" s="1" t="s">
        <v>97</v>
      </c>
      <c r="C872" s="4">
        <v>4</v>
      </c>
      <c r="D872" s="8">
        <v>1.38</v>
      </c>
      <c r="E872" s="4">
        <v>3</v>
      </c>
      <c r="F872" s="8">
        <v>1.95</v>
      </c>
      <c r="G872" s="4">
        <v>1</v>
      </c>
      <c r="H872" s="8">
        <v>0.74</v>
      </c>
      <c r="I872" s="4">
        <v>0</v>
      </c>
    </row>
    <row r="873" spans="1:9" x14ac:dyDescent="0.2">
      <c r="A873" s="2">
        <v>18</v>
      </c>
      <c r="B873" s="1" t="s">
        <v>90</v>
      </c>
      <c r="C873" s="4">
        <v>4</v>
      </c>
      <c r="D873" s="8">
        <v>1.38</v>
      </c>
      <c r="E873" s="4">
        <v>3</v>
      </c>
      <c r="F873" s="8">
        <v>1.95</v>
      </c>
      <c r="G873" s="4">
        <v>1</v>
      </c>
      <c r="H873" s="8">
        <v>0.74</v>
      </c>
      <c r="I873" s="4">
        <v>0</v>
      </c>
    </row>
    <row r="874" spans="1:9" x14ac:dyDescent="0.2">
      <c r="A874" s="2">
        <v>18</v>
      </c>
      <c r="B874" s="1" t="s">
        <v>126</v>
      </c>
      <c r="C874" s="4">
        <v>4</v>
      </c>
      <c r="D874" s="8">
        <v>1.38</v>
      </c>
      <c r="E874" s="4">
        <v>2</v>
      </c>
      <c r="F874" s="8">
        <v>1.3</v>
      </c>
      <c r="G874" s="4">
        <v>2</v>
      </c>
      <c r="H874" s="8">
        <v>1.47</v>
      </c>
      <c r="I874" s="4">
        <v>0</v>
      </c>
    </row>
    <row r="875" spans="1:9" x14ac:dyDescent="0.2">
      <c r="A875" s="2">
        <v>18</v>
      </c>
      <c r="B875" s="1" t="s">
        <v>95</v>
      </c>
      <c r="C875" s="4">
        <v>4</v>
      </c>
      <c r="D875" s="8">
        <v>1.38</v>
      </c>
      <c r="E875" s="4">
        <v>1</v>
      </c>
      <c r="F875" s="8">
        <v>0.65</v>
      </c>
      <c r="G875" s="4">
        <v>3</v>
      </c>
      <c r="H875" s="8">
        <v>2.21</v>
      </c>
      <c r="I875" s="4">
        <v>0</v>
      </c>
    </row>
    <row r="876" spans="1:9" x14ac:dyDescent="0.2">
      <c r="A876" s="1"/>
      <c r="C876" s="4"/>
      <c r="D876" s="8"/>
      <c r="E876" s="4"/>
      <c r="F876" s="8"/>
      <c r="G876" s="4"/>
      <c r="H876" s="8"/>
      <c r="I876" s="4"/>
    </row>
    <row r="877" spans="1:9" x14ac:dyDescent="0.2">
      <c r="A877" s="1" t="s">
        <v>37</v>
      </c>
      <c r="C877" s="4"/>
      <c r="D877" s="8"/>
      <c r="E877" s="4"/>
      <c r="F877" s="8"/>
      <c r="G877" s="4"/>
      <c r="H877" s="8"/>
      <c r="I877" s="4"/>
    </row>
    <row r="878" spans="1:9" x14ac:dyDescent="0.2">
      <c r="A878" s="2">
        <v>1</v>
      </c>
      <c r="B878" s="1" t="s">
        <v>88</v>
      </c>
      <c r="C878" s="4">
        <v>64</v>
      </c>
      <c r="D878" s="8">
        <v>16.12</v>
      </c>
      <c r="E878" s="4">
        <v>55</v>
      </c>
      <c r="F878" s="8">
        <v>23.31</v>
      </c>
      <c r="G878" s="4">
        <v>8</v>
      </c>
      <c r="H878" s="8">
        <v>5.26</v>
      </c>
      <c r="I878" s="4">
        <v>1</v>
      </c>
    </row>
    <row r="879" spans="1:9" x14ac:dyDescent="0.2">
      <c r="A879" s="2">
        <v>2</v>
      </c>
      <c r="B879" s="1" t="s">
        <v>81</v>
      </c>
      <c r="C879" s="4">
        <v>44</v>
      </c>
      <c r="D879" s="8">
        <v>11.08</v>
      </c>
      <c r="E879" s="4">
        <v>33</v>
      </c>
      <c r="F879" s="8">
        <v>13.98</v>
      </c>
      <c r="G879" s="4">
        <v>10</v>
      </c>
      <c r="H879" s="8">
        <v>6.58</v>
      </c>
      <c r="I879" s="4">
        <v>1</v>
      </c>
    </row>
    <row r="880" spans="1:9" x14ac:dyDescent="0.2">
      <c r="A880" s="2">
        <v>3</v>
      </c>
      <c r="B880" s="1" t="s">
        <v>89</v>
      </c>
      <c r="C880" s="4">
        <v>38</v>
      </c>
      <c r="D880" s="8">
        <v>9.57</v>
      </c>
      <c r="E880" s="4">
        <v>36</v>
      </c>
      <c r="F880" s="8">
        <v>15.25</v>
      </c>
      <c r="G880" s="4">
        <v>2</v>
      </c>
      <c r="H880" s="8">
        <v>1.32</v>
      </c>
      <c r="I880" s="4">
        <v>0</v>
      </c>
    </row>
    <row r="881" spans="1:9" x14ac:dyDescent="0.2">
      <c r="A881" s="2">
        <v>4</v>
      </c>
      <c r="B881" s="1" t="s">
        <v>83</v>
      </c>
      <c r="C881" s="4">
        <v>36</v>
      </c>
      <c r="D881" s="8">
        <v>9.07</v>
      </c>
      <c r="E881" s="4">
        <v>15</v>
      </c>
      <c r="F881" s="8">
        <v>6.36</v>
      </c>
      <c r="G881" s="4">
        <v>21</v>
      </c>
      <c r="H881" s="8">
        <v>13.82</v>
      </c>
      <c r="I881" s="4">
        <v>0</v>
      </c>
    </row>
    <row r="882" spans="1:9" x14ac:dyDescent="0.2">
      <c r="A882" s="2">
        <v>5</v>
      </c>
      <c r="B882" s="1" t="s">
        <v>74</v>
      </c>
      <c r="C882" s="4">
        <v>28</v>
      </c>
      <c r="D882" s="8">
        <v>7.05</v>
      </c>
      <c r="E882" s="4">
        <v>10</v>
      </c>
      <c r="F882" s="8">
        <v>4.24</v>
      </c>
      <c r="G882" s="4">
        <v>18</v>
      </c>
      <c r="H882" s="8">
        <v>11.84</v>
      </c>
      <c r="I882" s="4">
        <v>0</v>
      </c>
    </row>
    <row r="883" spans="1:9" x14ac:dyDescent="0.2">
      <c r="A883" s="2">
        <v>6</v>
      </c>
      <c r="B883" s="1" t="s">
        <v>82</v>
      </c>
      <c r="C883" s="4">
        <v>17</v>
      </c>
      <c r="D883" s="8">
        <v>4.28</v>
      </c>
      <c r="E883" s="4">
        <v>10</v>
      </c>
      <c r="F883" s="8">
        <v>4.24</v>
      </c>
      <c r="G883" s="4">
        <v>7</v>
      </c>
      <c r="H883" s="8">
        <v>4.6100000000000003</v>
      </c>
      <c r="I883" s="4">
        <v>0</v>
      </c>
    </row>
    <row r="884" spans="1:9" x14ac:dyDescent="0.2">
      <c r="A884" s="2">
        <v>7</v>
      </c>
      <c r="B884" s="1" t="s">
        <v>92</v>
      </c>
      <c r="C884" s="4">
        <v>16</v>
      </c>
      <c r="D884" s="8">
        <v>4.03</v>
      </c>
      <c r="E884" s="4">
        <v>0</v>
      </c>
      <c r="F884" s="8">
        <v>0</v>
      </c>
      <c r="G884" s="4">
        <v>12</v>
      </c>
      <c r="H884" s="8">
        <v>7.89</v>
      </c>
      <c r="I884" s="4">
        <v>1</v>
      </c>
    </row>
    <row r="885" spans="1:9" x14ac:dyDescent="0.2">
      <c r="A885" s="2">
        <v>8</v>
      </c>
      <c r="B885" s="1" t="s">
        <v>85</v>
      </c>
      <c r="C885" s="4">
        <v>15</v>
      </c>
      <c r="D885" s="8">
        <v>3.78</v>
      </c>
      <c r="E885" s="4">
        <v>11</v>
      </c>
      <c r="F885" s="8">
        <v>4.66</v>
      </c>
      <c r="G885" s="4">
        <v>4</v>
      </c>
      <c r="H885" s="8">
        <v>2.63</v>
      </c>
      <c r="I885" s="4">
        <v>0</v>
      </c>
    </row>
    <row r="886" spans="1:9" x14ac:dyDescent="0.2">
      <c r="A886" s="2">
        <v>9</v>
      </c>
      <c r="B886" s="1" t="s">
        <v>75</v>
      </c>
      <c r="C886" s="4">
        <v>12</v>
      </c>
      <c r="D886" s="8">
        <v>3.02</v>
      </c>
      <c r="E886" s="4">
        <v>5</v>
      </c>
      <c r="F886" s="8">
        <v>2.12</v>
      </c>
      <c r="G886" s="4">
        <v>7</v>
      </c>
      <c r="H886" s="8">
        <v>4.6100000000000003</v>
      </c>
      <c r="I886" s="4">
        <v>0</v>
      </c>
    </row>
    <row r="887" spans="1:9" x14ac:dyDescent="0.2">
      <c r="A887" s="2">
        <v>10</v>
      </c>
      <c r="B887" s="1" t="s">
        <v>77</v>
      </c>
      <c r="C887" s="4">
        <v>10</v>
      </c>
      <c r="D887" s="8">
        <v>2.52</v>
      </c>
      <c r="E887" s="4">
        <v>2</v>
      </c>
      <c r="F887" s="8">
        <v>0.85</v>
      </c>
      <c r="G887" s="4">
        <v>7</v>
      </c>
      <c r="H887" s="8">
        <v>4.6100000000000003</v>
      </c>
      <c r="I887" s="4">
        <v>1</v>
      </c>
    </row>
    <row r="888" spans="1:9" x14ac:dyDescent="0.2">
      <c r="A888" s="2">
        <v>10</v>
      </c>
      <c r="B888" s="1" t="s">
        <v>86</v>
      </c>
      <c r="C888" s="4">
        <v>10</v>
      </c>
      <c r="D888" s="8">
        <v>2.52</v>
      </c>
      <c r="E888" s="4">
        <v>9</v>
      </c>
      <c r="F888" s="8">
        <v>3.81</v>
      </c>
      <c r="G888" s="4">
        <v>1</v>
      </c>
      <c r="H888" s="8">
        <v>0.66</v>
      </c>
      <c r="I888" s="4">
        <v>0</v>
      </c>
    </row>
    <row r="889" spans="1:9" x14ac:dyDescent="0.2">
      <c r="A889" s="2">
        <v>10</v>
      </c>
      <c r="B889" s="1" t="s">
        <v>87</v>
      </c>
      <c r="C889" s="4">
        <v>10</v>
      </c>
      <c r="D889" s="8">
        <v>2.52</v>
      </c>
      <c r="E889" s="4">
        <v>4</v>
      </c>
      <c r="F889" s="8">
        <v>1.69</v>
      </c>
      <c r="G889" s="4">
        <v>6</v>
      </c>
      <c r="H889" s="8">
        <v>3.95</v>
      </c>
      <c r="I889" s="4">
        <v>0</v>
      </c>
    </row>
    <row r="890" spans="1:9" x14ac:dyDescent="0.2">
      <c r="A890" s="2">
        <v>13</v>
      </c>
      <c r="B890" s="1" t="s">
        <v>76</v>
      </c>
      <c r="C890" s="4">
        <v>8</v>
      </c>
      <c r="D890" s="8">
        <v>2.02</v>
      </c>
      <c r="E890" s="4">
        <v>6</v>
      </c>
      <c r="F890" s="8">
        <v>2.54</v>
      </c>
      <c r="G890" s="4">
        <v>2</v>
      </c>
      <c r="H890" s="8">
        <v>1.32</v>
      </c>
      <c r="I890" s="4">
        <v>0</v>
      </c>
    </row>
    <row r="891" spans="1:9" x14ac:dyDescent="0.2">
      <c r="A891" s="2">
        <v>13</v>
      </c>
      <c r="B891" s="1" t="s">
        <v>78</v>
      </c>
      <c r="C891" s="4">
        <v>8</v>
      </c>
      <c r="D891" s="8">
        <v>2.02</v>
      </c>
      <c r="E891" s="4">
        <v>3</v>
      </c>
      <c r="F891" s="8">
        <v>1.27</v>
      </c>
      <c r="G891" s="4">
        <v>5</v>
      </c>
      <c r="H891" s="8">
        <v>3.29</v>
      </c>
      <c r="I891" s="4">
        <v>0</v>
      </c>
    </row>
    <row r="892" spans="1:9" x14ac:dyDescent="0.2">
      <c r="A892" s="2">
        <v>13</v>
      </c>
      <c r="B892" s="1" t="s">
        <v>99</v>
      </c>
      <c r="C892" s="4">
        <v>8</v>
      </c>
      <c r="D892" s="8">
        <v>2.02</v>
      </c>
      <c r="E892" s="4">
        <v>4</v>
      </c>
      <c r="F892" s="8">
        <v>1.69</v>
      </c>
      <c r="G892" s="4">
        <v>4</v>
      </c>
      <c r="H892" s="8">
        <v>2.63</v>
      </c>
      <c r="I892" s="4">
        <v>0</v>
      </c>
    </row>
    <row r="893" spans="1:9" x14ac:dyDescent="0.2">
      <c r="A893" s="2">
        <v>13</v>
      </c>
      <c r="B893" s="1" t="s">
        <v>93</v>
      </c>
      <c r="C893" s="4">
        <v>8</v>
      </c>
      <c r="D893" s="8">
        <v>2.02</v>
      </c>
      <c r="E893" s="4">
        <v>5</v>
      </c>
      <c r="F893" s="8">
        <v>2.12</v>
      </c>
      <c r="G893" s="4">
        <v>3</v>
      </c>
      <c r="H893" s="8">
        <v>1.97</v>
      </c>
      <c r="I893" s="4">
        <v>0</v>
      </c>
    </row>
    <row r="894" spans="1:9" x14ac:dyDescent="0.2">
      <c r="A894" s="2">
        <v>17</v>
      </c>
      <c r="B894" s="1" t="s">
        <v>106</v>
      </c>
      <c r="C894" s="4">
        <v>6</v>
      </c>
      <c r="D894" s="8">
        <v>1.51</v>
      </c>
      <c r="E894" s="4">
        <v>3</v>
      </c>
      <c r="F894" s="8">
        <v>1.27</v>
      </c>
      <c r="G894" s="4">
        <v>2</v>
      </c>
      <c r="H894" s="8">
        <v>1.32</v>
      </c>
      <c r="I894" s="4">
        <v>1</v>
      </c>
    </row>
    <row r="895" spans="1:9" x14ac:dyDescent="0.2">
      <c r="A895" s="2">
        <v>18</v>
      </c>
      <c r="B895" s="1" t="s">
        <v>97</v>
      </c>
      <c r="C895" s="4">
        <v>5</v>
      </c>
      <c r="D895" s="8">
        <v>1.26</v>
      </c>
      <c r="E895" s="4">
        <v>0</v>
      </c>
      <c r="F895" s="8">
        <v>0</v>
      </c>
      <c r="G895" s="4">
        <v>5</v>
      </c>
      <c r="H895" s="8">
        <v>3.29</v>
      </c>
      <c r="I895" s="4">
        <v>0</v>
      </c>
    </row>
    <row r="896" spans="1:9" x14ac:dyDescent="0.2">
      <c r="A896" s="2">
        <v>19</v>
      </c>
      <c r="B896" s="1" t="s">
        <v>109</v>
      </c>
      <c r="C896" s="4">
        <v>4</v>
      </c>
      <c r="D896" s="8">
        <v>1.01</v>
      </c>
      <c r="E896" s="4">
        <v>0</v>
      </c>
      <c r="F896" s="8">
        <v>0</v>
      </c>
      <c r="G896" s="4">
        <v>4</v>
      </c>
      <c r="H896" s="8">
        <v>2.63</v>
      </c>
      <c r="I896" s="4">
        <v>0</v>
      </c>
    </row>
    <row r="897" spans="1:9" x14ac:dyDescent="0.2">
      <c r="A897" s="2">
        <v>19</v>
      </c>
      <c r="B897" s="1" t="s">
        <v>127</v>
      </c>
      <c r="C897" s="4">
        <v>4</v>
      </c>
      <c r="D897" s="8">
        <v>1.01</v>
      </c>
      <c r="E897" s="4">
        <v>0</v>
      </c>
      <c r="F897" s="8">
        <v>0</v>
      </c>
      <c r="G897" s="4">
        <v>4</v>
      </c>
      <c r="H897" s="8">
        <v>2.63</v>
      </c>
      <c r="I897" s="4">
        <v>0</v>
      </c>
    </row>
    <row r="898" spans="1:9" x14ac:dyDescent="0.2">
      <c r="A898" s="2">
        <v>19</v>
      </c>
      <c r="B898" s="1" t="s">
        <v>90</v>
      </c>
      <c r="C898" s="4">
        <v>4</v>
      </c>
      <c r="D898" s="8">
        <v>1.01</v>
      </c>
      <c r="E898" s="4">
        <v>3</v>
      </c>
      <c r="F898" s="8">
        <v>1.27</v>
      </c>
      <c r="G898" s="4">
        <v>1</v>
      </c>
      <c r="H898" s="8">
        <v>0.66</v>
      </c>
      <c r="I898" s="4">
        <v>0</v>
      </c>
    </row>
    <row r="899" spans="1:9" x14ac:dyDescent="0.2">
      <c r="A899" s="2">
        <v>19</v>
      </c>
      <c r="B899" s="1" t="s">
        <v>91</v>
      </c>
      <c r="C899" s="4">
        <v>4</v>
      </c>
      <c r="D899" s="8">
        <v>1.01</v>
      </c>
      <c r="E899" s="4">
        <v>3</v>
      </c>
      <c r="F899" s="8">
        <v>1.27</v>
      </c>
      <c r="G899" s="4">
        <v>0</v>
      </c>
      <c r="H899" s="8">
        <v>0</v>
      </c>
      <c r="I899" s="4">
        <v>0</v>
      </c>
    </row>
    <row r="900" spans="1:9" x14ac:dyDescent="0.2">
      <c r="A900" s="1"/>
      <c r="C900" s="4"/>
      <c r="D900" s="8"/>
      <c r="E900" s="4"/>
      <c r="F900" s="8"/>
      <c r="G900" s="4"/>
      <c r="H900" s="8"/>
      <c r="I900" s="4"/>
    </row>
    <row r="901" spans="1:9" x14ac:dyDescent="0.2">
      <c r="A901" s="1" t="s">
        <v>38</v>
      </c>
      <c r="C901" s="4"/>
      <c r="D901" s="8"/>
      <c r="E901" s="4"/>
      <c r="F901" s="8"/>
      <c r="G901" s="4"/>
      <c r="H901" s="8"/>
      <c r="I901" s="4"/>
    </row>
    <row r="902" spans="1:9" x14ac:dyDescent="0.2">
      <c r="A902" s="2">
        <v>1</v>
      </c>
      <c r="B902" s="1" t="s">
        <v>74</v>
      </c>
      <c r="C902" s="4">
        <v>36</v>
      </c>
      <c r="D902" s="8">
        <v>12.54</v>
      </c>
      <c r="E902" s="4">
        <v>21</v>
      </c>
      <c r="F902" s="8">
        <v>11.73</v>
      </c>
      <c r="G902" s="4">
        <v>15</v>
      </c>
      <c r="H902" s="8">
        <v>14.56</v>
      </c>
      <c r="I902" s="4">
        <v>0</v>
      </c>
    </row>
    <row r="903" spans="1:9" x14ac:dyDescent="0.2">
      <c r="A903" s="2">
        <v>2</v>
      </c>
      <c r="B903" s="1" t="s">
        <v>89</v>
      </c>
      <c r="C903" s="4">
        <v>25</v>
      </c>
      <c r="D903" s="8">
        <v>8.7100000000000009</v>
      </c>
      <c r="E903" s="4">
        <v>25</v>
      </c>
      <c r="F903" s="8">
        <v>13.97</v>
      </c>
      <c r="G903" s="4">
        <v>0</v>
      </c>
      <c r="H903" s="8">
        <v>0</v>
      </c>
      <c r="I903" s="4">
        <v>0</v>
      </c>
    </row>
    <row r="904" spans="1:9" x14ac:dyDescent="0.2">
      <c r="A904" s="2">
        <v>3</v>
      </c>
      <c r="B904" s="1" t="s">
        <v>83</v>
      </c>
      <c r="C904" s="4">
        <v>21</v>
      </c>
      <c r="D904" s="8">
        <v>7.32</v>
      </c>
      <c r="E904" s="4">
        <v>13</v>
      </c>
      <c r="F904" s="8">
        <v>7.26</v>
      </c>
      <c r="G904" s="4">
        <v>8</v>
      </c>
      <c r="H904" s="8">
        <v>7.77</v>
      </c>
      <c r="I904" s="4">
        <v>0</v>
      </c>
    </row>
    <row r="905" spans="1:9" x14ac:dyDescent="0.2">
      <c r="A905" s="2">
        <v>4</v>
      </c>
      <c r="B905" s="1" t="s">
        <v>88</v>
      </c>
      <c r="C905" s="4">
        <v>19</v>
      </c>
      <c r="D905" s="8">
        <v>6.62</v>
      </c>
      <c r="E905" s="4">
        <v>16</v>
      </c>
      <c r="F905" s="8">
        <v>8.94</v>
      </c>
      <c r="G905" s="4">
        <v>3</v>
      </c>
      <c r="H905" s="8">
        <v>2.91</v>
      </c>
      <c r="I905" s="4">
        <v>0</v>
      </c>
    </row>
    <row r="906" spans="1:9" x14ac:dyDescent="0.2">
      <c r="A906" s="2">
        <v>5</v>
      </c>
      <c r="B906" s="1" t="s">
        <v>81</v>
      </c>
      <c r="C906" s="4">
        <v>14</v>
      </c>
      <c r="D906" s="8">
        <v>4.88</v>
      </c>
      <c r="E906" s="4">
        <v>10</v>
      </c>
      <c r="F906" s="8">
        <v>5.59</v>
      </c>
      <c r="G906" s="4">
        <v>4</v>
      </c>
      <c r="H906" s="8">
        <v>3.88</v>
      </c>
      <c r="I906" s="4">
        <v>0</v>
      </c>
    </row>
    <row r="907" spans="1:9" x14ac:dyDescent="0.2">
      <c r="A907" s="2">
        <v>6</v>
      </c>
      <c r="B907" s="1" t="s">
        <v>76</v>
      </c>
      <c r="C907" s="4">
        <v>12</v>
      </c>
      <c r="D907" s="8">
        <v>4.18</v>
      </c>
      <c r="E907" s="4">
        <v>3</v>
      </c>
      <c r="F907" s="8">
        <v>1.68</v>
      </c>
      <c r="G907" s="4">
        <v>9</v>
      </c>
      <c r="H907" s="8">
        <v>8.74</v>
      </c>
      <c r="I907" s="4">
        <v>0</v>
      </c>
    </row>
    <row r="908" spans="1:9" x14ac:dyDescent="0.2">
      <c r="A908" s="2">
        <v>6</v>
      </c>
      <c r="B908" s="1" t="s">
        <v>90</v>
      </c>
      <c r="C908" s="4">
        <v>12</v>
      </c>
      <c r="D908" s="8">
        <v>4.18</v>
      </c>
      <c r="E908" s="4">
        <v>10</v>
      </c>
      <c r="F908" s="8">
        <v>5.59</v>
      </c>
      <c r="G908" s="4">
        <v>0</v>
      </c>
      <c r="H908" s="8">
        <v>0</v>
      </c>
      <c r="I908" s="4">
        <v>0</v>
      </c>
    </row>
    <row r="909" spans="1:9" x14ac:dyDescent="0.2">
      <c r="A909" s="2">
        <v>6</v>
      </c>
      <c r="B909" s="1" t="s">
        <v>91</v>
      </c>
      <c r="C909" s="4">
        <v>12</v>
      </c>
      <c r="D909" s="8">
        <v>4.18</v>
      </c>
      <c r="E909" s="4">
        <v>10</v>
      </c>
      <c r="F909" s="8">
        <v>5.59</v>
      </c>
      <c r="G909" s="4">
        <v>2</v>
      </c>
      <c r="H909" s="8">
        <v>1.94</v>
      </c>
      <c r="I909" s="4">
        <v>0</v>
      </c>
    </row>
    <row r="910" spans="1:9" x14ac:dyDescent="0.2">
      <c r="A910" s="2">
        <v>6</v>
      </c>
      <c r="B910" s="1" t="s">
        <v>92</v>
      </c>
      <c r="C910" s="4">
        <v>12</v>
      </c>
      <c r="D910" s="8">
        <v>4.18</v>
      </c>
      <c r="E910" s="4">
        <v>0</v>
      </c>
      <c r="F910" s="8">
        <v>0</v>
      </c>
      <c r="G910" s="4">
        <v>10</v>
      </c>
      <c r="H910" s="8">
        <v>9.7100000000000009</v>
      </c>
      <c r="I910" s="4">
        <v>1</v>
      </c>
    </row>
    <row r="911" spans="1:9" x14ac:dyDescent="0.2">
      <c r="A911" s="2">
        <v>10</v>
      </c>
      <c r="B911" s="1" t="s">
        <v>82</v>
      </c>
      <c r="C911" s="4">
        <v>11</v>
      </c>
      <c r="D911" s="8">
        <v>3.83</v>
      </c>
      <c r="E911" s="4">
        <v>9</v>
      </c>
      <c r="F911" s="8">
        <v>5.03</v>
      </c>
      <c r="G911" s="4">
        <v>2</v>
      </c>
      <c r="H911" s="8">
        <v>1.94</v>
      </c>
      <c r="I911" s="4">
        <v>0</v>
      </c>
    </row>
    <row r="912" spans="1:9" x14ac:dyDescent="0.2">
      <c r="A912" s="2">
        <v>10</v>
      </c>
      <c r="B912" s="1" t="s">
        <v>93</v>
      </c>
      <c r="C912" s="4">
        <v>11</v>
      </c>
      <c r="D912" s="8">
        <v>3.83</v>
      </c>
      <c r="E912" s="4">
        <v>9</v>
      </c>
      <c r="F912" s="8">
        <v>5.03</v>
      </c>
      <c r="G912" s="4">
        <v>2</v>
      </c>
      <c r="H912" s="8">
        <v>1.94</v>
      </c>
      <c r="I912" s="4">
        <v>0</v>
      </c>
    </row>
    <row r="913" spans="1:9" x14ac:dyDescent="0.2">
      <c r="A913" s="2">
        <v>12</v>
      </c>
      <c r="B913" s="1" t="s">
        <v>77</v>
      </c>
      <c r="C913" s="4">
        <v>10</v>
      </c>
      <c r="D913" s="8">
        <v>3.48</v>
      </c>
      <c r="E913" s="4">
        <v>1</v>
      </c>
      <c r="F913" s="8">
        <v>0.56000000000000005</v>
      </c>
      <c r="G913" s="4">
        <v>9</v>
      </c>
      <c r="H913" s="8">
        <v>8.74</v>
      </c>
      <c r="I913" s="4">
        <v>0</v>
      </c>
    </row>
    <row r="914" spans="1:9" x14ac:dyDescent="0.2">
      <c r="A914" s="2">
        <v>13</v>
      </c>
      <c r="B914" s="1" t="s">
        <v>75</v>
      </c>
      <c r="C914" s="4">
        <v>8</v>
      </c>
      <c r="D914" s="8">
        <v>2.79</v>
      </c>
      <c r="E914" s="4">
        <v>8</v>
      </c>
      <c r="F914" s="8">
        <v>4.47</v>
      </c>
      <c r="G914" s="4">
        <v>0</v>
      </c>
      <c r="H914" s="8">
        <v>0</v>
      </c>
      <c r="I914" s="4">
        <v>0</v>
      </c>
    </row>
    <row r="915" spans="1:9" x14ac:dyDescent="0.2">
      <c r="A915" s="2">
        <v>14</v>
      </c>
      <c r="B915" s="1" t="s">
        <v>78</v>
      </c>
      <c r="C915" s="4">
        <v>7</v>
      </c>
      <c r="D915" s="8">
        <v>2.44</v>
      </c>
      <c r="E915" s="4">
        <v>1</v>
      </c>
      <c r="F915" s="8">
        <v>0.56000000000000005</v>
      </c>
      <c r="G915" s="4">
        <v>6</v>
      </c>
      <c r="H915" s="8">
        <v>5.83</v>
      </c>
      <c r="I915" s="4">
        <v>0</v>
      </c>
    </row>
    <row r="916" spans="1:9" x14ac:dyDescent="0.2">
      <c r="A916" s="2">
        <v>14</v>
      </c>
      <c r="B916" s="1" t="s">
        <v>85</v>
      </c>
      <c r="C916" s="4">
        <v>7</v>
      </c>
      <c r="D916" s="8">
        <v>2.44</v>
      </c>
      <c r="E916" s="4">
        <v>5</v>
      </c>
      <c r="F916" s="8">
        <v>2.79</v>
      </c>
      <c r="G916" s="4">
        <v>2</v>
      </c>
      <c r="H916" s="8">
        <v>1.94</v>
      </c>
      <c r="I916" s="4">
        <v>0</v>
      </c>
    </row>
    <row r="917" spans="1:9" x14ac:dyDescent="0.2">
      <c r="A917" s="2">
        <v>16</v>
      </c>
      <c r="B917" s="1" t="s">
        <v>94</v>
      </c>
      <c r="C917" s="4">
        <v>6</v>
      </c>
      <c r="D917" s="8">
        <v>2.09</v>
      </c>
      <c r="E917" s="4">
        <v>5</v>
      </c>
      <c r="F917" s="8">
        <v>2.79</v>
      </c>
      <c r="G917" s="4">
        <v>1</v>
      </c>
      <c r="H917" s="8">
        <v>0.97</v>
      </c>
      <c r="I917" s="4">
        <v>0</v>
      </c>
    </row>
    <row r="918" spans="1:9" x14ac:dyDescent="0.2">
      <c r="A918" s="2">
        <v>16</v>
      </c>
      <c r="B918" s="1" t="s">
        <v>87</v>
      </c>
      <c r="C918" s="4">
        <v>6</v>
      </c>
      <c r="D918" s="8">
        <v>2.09</v>
      </c>
      <c r="E918" s="4">
        <v>3</v>
      </c>
      <c r="F918" s="8">
        <v>1.68</v>
      </c>
      <c r="G918" s="4">
        <v>3</v>
      </c>
      <c r="H918" s="8">
        <v>2.91</v>
      </c>
      <c r="I918" s="4">
        <v>0</v>
      </c>
    </row>
    <row r="919" spans="1:9" x14ac:dyDescent="0.2">
      <c r="A919" s="2">
        <v>18</v>
      </c>
      <c r="B919" s="1" t="s">
        <v>125</v>
      </c>
      <c r="C919" s="4">
        <v>5</v>
      </c>
      <c r="D919" s="8">
        <v>1.74</v>
      </c>
      <c r="E919" s="4">
        <v>3</v>
      </c>
      <c r="F919" s="8">
        <v>1.68</v>
      </c>
      <c r="G919" s="4">
        <v>2</v>
      </c>
      <c r="H919" s="8">
        <v>1.94</v>
      </c>
      <c r="I919" s="4">
        <v>0</v>
      </c>
    </row>
    <row r="920" spans="1:9" x14ac:dyDescent="0.2">
      <c r="A920" s="2">
        <v>18</v>
      </c>
      <c r="B920" s="1" t="s">
        <v>126</v>
      </c>
      <c r="C920" s="4">
        <v>5</v>
      </c>
      <c r="D920" s="8">
        <v>1.74</v>
      </c>
      <c r="E920" s="4">
        <v>3</v>
      </c>
      <c r="F920" s="8">
        <v>1.68</v>
      </c>
      <c r="G920" s="4">
        <v>2</v>
      </c>
      <c r="H920" s="8">
        <v>1.94</v>
      </c>
      <c r="I920" s="4">
        <v>0</v>
      </c>
    </row>
    <row r="921" spans="1:9" x14ac:dyDescent="0.2">
      <c r="A921" s="2">
        <v>20</v>
      </c>
      <c r="B921" s="1" t="s">
        <v>110</v>
      </c>
      <c r="C921" s="4">
        <v>4</v>
      </c>
      <c r="D921" s="8">
        <v>1.39</v>
      </c>
      <c r="E921" s="4">
        <v>3</v>
      </c>
      <c r="F921" s="8">
        <v>1.68</v>
      </c>
      <c r="G921" s="4">
        <v>1</v>
      </c>
      <c r="H921" s="8">
        <v>0.97</v>
      </c>
      <c r="I921" s="4">
        <v>0</v>
      </c>
    </row>
    <row r="922" spans="1:9" x14ac:dyDescent="0.2">
      <c r="A922" s="2">
        <v>20</v>
      </c>
      <c r="B922" s="1" t="s">
        <v>99</v>
      </c>
      <c r="C922" s="4">
        <v>4</v>
      </c>
      <c r="D922" s="8">
        <v>1.39</v>
      </c>
      <c r="E922" s="4">
        <v>1</v>
      </c>
      <c r="F922" s="8">
        <v>0.56000000000000005</v>
      </c>
      <c r="G922" s="4">
        <v>3</v>
      </c>
      <c r="H922" s="8">
        <v>2.91</v>
      </c>
      <c r="I922" s="4">
        <v>0</v>
      </c>
    </row>
    <row r="923" spans="1:9" x14ac:dyDescent="0.2">
      <c r="A923" s="2">
        <v>20</v>
      </c>
      <c r="B923" s="1" t="s">
        <v>80</v>
      </c>
      <c r="C923" s="4">
        <v>4</v>
      </c>
      <c r="D923" s="8">
        <v>1.39</v>
      </c>
      <c r="E923" s="4">
        <v>2</v>
      </c>
      <c r="F923" s="8">
        <v>1.1200000000000001</v>
      </c>
      <c r="G923" s="4">
        <v>2</v>
      </c>
      <c r="H923" s="8">
        <v>1.94</v>
      </c>
      <c r="I923" s="4">
        <v>0</v>
      </c>
    </row>
    <row r="924" spans="1:9" x14ac:dyDescent="0.2">
      <c r="A924" s="2">
        <v>20</v>
      </c>
      <c r="B924" s="1" t="s">
        <v>95</v>
      </c>
      <c r="C924" s="4">
        <v>4</v>
      </c>
      <c r="D924" s="8">
        <v>1.39</v>
      </c>
      <c r="E924" s="4">
        <v>1</v>
      </c>
      <c r="F924" s="8">
        <v>0.56000000000000005</v>
      </c>
      <c r="G924" s="4">
        <v>3</v>
      </c>
      <c r="H924" s="8">
        <v>2.91</v>
      </c>
      <c r="I924" s="4">
        <v>0</v>
      </c>
    </row>
    <row r="925" spans="1:9" x14ac:dyDescent="0.2">
      <c r="A925" s="1"/>
      <c r="C925" s="4"/>
      <c r="D925" s="8"/>
      <c r="E925" s="4"/>
      <c r="F925" s="8"/>
      <c r="G925" s="4"/>
      <c r="H925" s="8"/>
      <c r="I925" s="4"/>
    </row>
    <row r="926" spans="1:9" x14ac:dyDescent="0.2">
      <c r="A926" s="1" t="s">
        <v>39</v>
      </c>
      <c r="C926" s="4"/>
      <c r="D926" s="8"/>
      <c r="E926" s="4"/>
      <c r="F926" s="8"/>
      <c r="G926" s="4"/>
      <c r="H926" s="8"/>
      <c r="I926" s="4"/>
    </row>
    <row r="927" spans="1:9" x14ac:dyDescent="0.2">
      <c r="A927" s="2">
        <v>1</v>
      </c>
      <c r="B927" s="1" t="s">
        <v>89</v>
      </c>
      <c r="C927" s="4">
        <v>51</v>
      </c>
      <c r="D927" s="8">
        <v>15.69</v>
      </c>
      <c r="E927" s="4">
        <v>43</v>
      </c>
      <c r="F927" s="8">
        <v>24.57</v>
      </c>
      <c r="G927" s="4">
        <v>6</v>
      </c>
      <c r="H927" s="8">
        <v>4.17</v>
      </c>
      <c r="I927" s="4">
        <v>0</v>
      </c>
    </row>
    <row r="928" spans="1:9" x14ac:dyDescent="0.2">
      <c r="A928" s="2">
        <v>2</v>
      </c>
      <c r="B928" s="1" t="s">
        <v>83</v>
      </c>
      <c r="C928" s="4">
        <v>34</v>
      </c>
      <c r="D928" s="8">
        <v>10.46</v>
      </c>
      <c r="E928" s="4">
        <v>15</v>
      </c>
      <c r="F928" s="8">
        <v>8.57</v>
      </c>
      <c r="G928" s="4">
        <v>19</v>
      </c>
      <c r="H928" s="8">
        <v>13.19</v>
      </c>
      <c r="I928" s="4">
        <v>0</v>
      </c>
    </row>
    <row r="929" spans="1:9" x14ac:dyDescent="0.2">
      <c r="A929" s="2">
        <v>3</v>
      </c>
      <c r="B929" s="1" t="s">
        <v>81</v>
      </c>
      <c r="C929" s="4">
        <v>25</v>
      </c>
      <c r="D929" s="8">
        <v>7.69</v>
      </c>
      <c r="E929" s="4">
        <v>17</v>
      </c>
      <c r="F929" s="8">
        <v>9.7100000000000009</v>
      </c>
      <c r="G929" s="4">
        <v>8</v>
      </c>
      <c r="H929" s="8">
        <v>5.56</v>
      </c>
      <c r="I929" s="4">
        <v>0</v>
      </c>
    </row>
    <row r="930" spans="1:9" x14ac:dyDescent="0.2">
      <c r="A930" s="2">
        <v>4</v>
      </c>
      <c r="B930" s="1" t="s">
        <v>74</v>
      </c>
      <c r="C930" s="4">
        <v>21</v>
      </c>
      <c r="D930" s="8">
        <v>6.46</v>
      </c>
      <c r="E930" s="4">
        <v>7</v>
      </c>
      <c r="F930" s="8">
        <v>4</v>
      </c>
      <c r="G930" s="4">
        <v>14</v>
      </c>
      <c r="H930" s="8">
        <v>9.7200000000000006</v>
      </c>
      <c r="I930" s="4">
        <v>0</v>
      </c>
    </row>
    <row r="931" spans="1:9" x14ac:dyDescent="0.2">
      <c r="A931" s="2">
        <v>4</v>
      </c>
      <c r="B931" s="1" t="s">
        <v>88</v>
      </c>
      <c r="C931" s="4">
        <v>21</v>
      </c>
      <c r="D931" s="8">
        <v>6.46</v>
      </c>
      <c r="E931" s="4">
        <v>20</v>
      </c>
      <c r="F931" s="8">
        <v>11.43</v>
      </c>
      <c r="G931" s="4">
        <v>1</v>
      </c>
      <c r="H931" s="8">
        <v>0.69</v>
      </c>
      <c r="I931" s="4">
        <v>0</v>
      </c>
    </row>
    <row r="932" spans="1:9" x14ac:dyDescent="0.2">
      <c r="A932" s="2">
        <v>6</v>
      </c>
      <c r="B932" s="1" t="s">
        <v>76</v>
      </c>
      <c r="C932" s="4">
        <v>18</v>
      </c>
      <c r="D932" s="8">
        <v>5.54</v>
      </c>
      <c r="E932" s="4">
        <v>4</v>
      </c>
      <c r="F932" s="8">
        <v>2.29</v>
      </c>
      <c r="G932" s="4">
        <v>14</v>
      </c>
      <c r="H932" s="8">
        <v>9.7200000000000006</v>
      </c>
      <c r="I932" s="4">
        <v>0</v>
      </c>
    </row>
    <row r="933" spans="1:9" x14ac:dyDescent="0.2">
      <c r="A933" s="2">
        <v>7</v>
      </c>
      <c r="B933" s="1" t="s">
        <v>82</v>
      </c>
      <c r="C933" s="4">
        <v>13</v>
      </c>
      <c r="D933" s="8">
        <v>4</v>
      </c>
      <c r="E933" s="4">
        <v>9</v>
      </c>
      <c r="F933" s="8">
        <v>5.14</v>
      </c>
      <c r="G933" s="4">
        <v>4</v>
      </c>
      <c r="H933" s="8">
        <v>2.78</v>
      </c>
      <c r="I933" s="4">
        <v>0</v>
      </c>
    </row>
    <row r="934" spans="1:9" x14ac:dyDescent="0.2">
      <c r="A934" s="2">
        <v>8</v>
      </c>
      <c r="B934" s="1" t="s">
        <v>75</v>
      </c>
      <c r="C934" s="4">
        <v>12</v>
      </c>
      <c r="D934" s="8">
        <v>3.69</v>
      </c>
      <c r="E934" s="4">
        <v>9</v>
      </c>
      <c r="F934" s="8">
        <v>5.14</v>
      </c>
      <c r="G934" s="4">
        <v>3</v>
      </c>
      <c r="H934" s="8">
        <v>2.08</v>
      </c>
      <c r="I934" s="4">
        <v>0</v>
      </c>
    </row>
    <row r="935" spans="1:9" x14ac:dyDescent="0.2">
      <c r="A935" s="2">
        <v>8</v>
      </c>
      <c r="B935" s="1" t="s">
        <v>92</v>
      </c>
      <c r="C935" s="4">
        <v>12</v>
      </c>
      <c r="D935" s="8">
        <v>3.69</v>
      </c>
      <c r="E935" s="4">
        <v>0</v>
      </c>
      <c r="F935" s="8">
        <v>0</v>
      </c>
      <c r="G935" s="4">
        <v>12</v>
      </c>
      <c r="H935" s="8">
        <v>8.33</v>
      </c>
      <c r="I935" s="4">
        <v>0</v>
      </c>
    </row>
    <row r="936" spans="1:9" x14ac:dyDescent="0.2">
      <c r="A936" s="2">
        <v>8</v>
      </c>
      <c r="B936" s="1" t="s">
        <v>93</v>
      </c>
      <c r="C936" s="4">
        <v>12</v>
      </c>
      <c r="D936" s="8">
        <v>3.69</v>
      </c>
      <c r="E936" s="4">
        <v>5</v>
      </c>
      <c r="F936" s="8">
        <v>2.86</v>
      </c>
      <c r="G936" s="4">
        <v>7</v>
      </c>
      <c r="H936" s="8">
        <v>4.8600000000000003</v>
      </c>
      <c r="I936" s="4">
        <v>0</v>
      </c>
    </row>
    <row r="937" spans="1:9" x14ac:dyDescent="0.2">
      <c r="A937" s="2">
        <v>11</v>
      </c>
      <c r="B937" s="1" t="s">
        <v>91</v>
      </c>
      <c r="C937" s="4">
        <v>11</v>
      </c>
      <c r="D937" s="8">
        <v>3.38</v>
      </c>
      <c r="E937" s="4">
        <v>9</v>
      </c>
      <c r="F937" s="8">
        <v>5.14</v>
      </c>
      <c r="G937" s="4">
        <v>2</v>
      </c>
      <c r="H937" s="8">
        <v>1.39</v>
      </c>
      <c r="I937" s="4">
        <v>0</v>
      </c>
    </row>
    <row r="938" spans="1:9" x14ac:dyDescent="0.2">
      <c r="A938" s="2">
        <v>12</v>
      </c>
      <c r="B938" s="1" t="s">
        <v>80</v>
      </c>
      <c r="C938" s="4">
        <v>8</v>
      </c>
      <c r="D938" s="8">
        <v>2.46</v>
      </c>
      <c r="E938" s="4">
        <v>5</v>
      </c>
      <c r="F938" s="8">
        <v>2.86</v>
      </c>
      <c r="G938" s="4">
        <v>3</v>
      </c>
      <c r="H938" s="8">
        <v>2.08</v>
      </c>
      <c r="I938" s="4">
        <v>0</v>
      </c>
    </row>
    <row r="939" spans="1:9" x14ac:dyDescent="0.2">
      <c r="A939" s="2">
        <v>13</v>
      </c>
      <c r="B939" s="1" t="s">
        <v>85</v>
      </c>
      <c r="C939" s="4">
        <v>7</v>
      </c>
      <c r="D939" s="8">
        <v>2.15</v>
      </c>
      <c r="E939" s="4">
        <v>3</v>
      </c>
      <c r="F939" s="8">
        <v>1.71</v>
      </c>
      <c r="G939" s="4">
        <v>4</v>
      </c>
      <c r="H939" s="8">
        <v>2.78</v>
      </c>
      <c r="I939" s="4">
        <v>0</v>
      </c>
    </row>
    <row r="940" spans="1:9" x14ac:dyDescent="0.2">
      <c r="A940" s="2">
        <v>14</v>
      </c>
      <c r="B940" s="1" t="s">
        <v>90</v>
      </c>
      <c r="C940" s="4">
        <v>6</v>
      </c>
      <c r="D940" s="8">
        <v>1.85</v>
      </c>
      <c r="E940" s="4">
        <v>3</v>
      </c>
      <c r="F940" s="8">
        <v>1.71</v>
      </c>
      <c r="G940" s="4">
        <v>1</v>
      </c>
      <c r="H940" s="8">
        <v>0.69</v>
      </c>
      <c r="I940" s="4">
        <v>1</v>
      </c>
    </row>
    <row r="941" spans="1:9" x14ac:dyDescent="0.2">
      <c r="A941" s="2">
        <v>15</v>
      </c>
      <c r="B941" s="1" t="s">
        <v>77</v>
      </c>
      <c r="C941" s="4">
        <v>5</v>
      </c>
      <c r="D941" s="8">
        <v>1.54</v>
      </c>
      <c r="E941" s="4">
        <v>0</v>
      </c>
      <c r="F941" s="8">
        <v>0</v>
      </c>
      <c r="G941" s="4">
        <v>4</v>
      </c>
      <c r="H941" s="8">
        <v>2.78</v>
      </c>
      <c r="I941" s="4">
        <v>1</v>
      </c>
    </row>
    <row r="942" spans="1:9" x14ac:dyDescent="0.2">
      <c r="A942" s="2">
        <v>15</v>
      </c>
      <c r="B942" s="1" t="s">
        <v>125</v>
      </c>
      <c r="C942" s="4">
        <v>5</v>
      </c>
      <c r="D942" s="8">
        <v>1.54</v>
      </c>
      <c r="E942" s="4">
        <v>5</v>
      </c>
      <c r="F942" s="8">
        <v>2.86</v>
      </c>
      <c r="G942" s="4">
        <v>0</v>
      </c>
      <c r="H942" s="8">
        <v>0</v>
      </c>
      <c r="I942" s="4">
        <v>0</v>
      </c>
    </row>
    <row r="943" spans="1:9" x14ac:dyDescent="0.2">
      <c r="A943" s="2">
        <v>15</v>
      </c>
      <c r="B943" s="1" t="s">
        <v>99</v>
      </c>
      <c r="C943" s="4">
        <v>5</v>
      </c>
      <c r="D943" s="8">
        <v>1.54</v>
      </c>
      <c r="E943" s="4">
        <v>2</v>
      </c>
      <c r="F943" s="8">
        <v>1.1399999999999999</v>
      </c>
      <c r="G943" s="4">
        <v>3</v>
      </c>
      <c r="H943" s="8">
        <v>2.08</v>
      </c>
      <c r="I943" s="4">
        <v>0</v>
      </c>
    </row>
    <row r="944" spans="1:9" x14ac:dyDescent="0.2">
      <c r="A944" s="2">
        <v>15</v>
      </c>
      <c r="B944" s="1" t="s">
        <v>106</v>
      </c>
      <c r="C944" s="4">
        <v>5</v>
      </c>
      <c r="D944" s="8">
        <v>1.54</v>
      </c>
      <c r="E944" s="4">
        <v>2</v>
      </c>
      <c r="F944" s="8">
        <v>1.1399999999999999</v>
      </c>
      <c r="G944" s="4">
        <v>3</v>
      </c>
      <c r="H944" s="8">
        <v>2.08</v>
      </c>
      <c r="I944" s="4">
        <v>0</v>
      </c>
    </row>
    <row r="945" spans="1:9" x14ac:dyDescent="0.2">
      <c r="A945" s="2">
        <v>19</v>
      </c>
      <c r="B945" s="1" t="s">
        <v>108</v>
      </c>
      <c r="C945" s="4">
        <v>4</v>
      </c>
      <c r="D945" s="8">
        <v>1.23</v>
      </c>
      <c r="E945" s="4">
        <v>1</v>
      </c>
      <c r="F945" s="8">
        <v>0.56999999999999995</v>
      </c>
      <c r="G945" s="4">
        <v>3</v>
      </c>
      <c r="H945" s="8">
        <v>2.08</v>
      </c>
      <c r="I945" s="4">
        <v>0</v>
      </c>
    </row>
    <row r="946" spans="1:9" x14ac:dyDescent="0.2">
      <c r="A946" s="2">
        <v>19</v>
      </c>
      <c r="B946" s="1" t="s">
        <v>116</v>
      </c>
      <c r="C946" s="4">
        <v>4</v>
      </c>
      <c r="D946" s="8">
        <v>1.23</v>
      </c>
      <c r="E946" s="4">
        <v>0</v>
      </c>
      <c r="F946" s="8">
        <v>0</v>
      </c>
      <c r="G946" s="4">
        <v>4</v>
      </c>
      <c r="H946" s="8">
        <v>2.78</v>
      </c>
      <c r="I946" s="4">
        <v>0</v>
      </c>
    </row>
    <row r="947" spans="1:9" x14ac:dyDescent="0.2">
      <c r="A947" s="1"/>
      <c r="C947" s="4"/>
      <c r="D947" s="8"/>
      <c r="E947" s="4"/>
      <c r="F947" s="8"/>
      <c r="G947" s="4"/>
      <c r="H947" s="8"/>
      <c r="I947" s="4"/>
    </row>
    <row r="948" spans="1:9" x14ac:dyDescent="0.2">
      <c r="A948" s="1" t="s">
        <v>40</v>
      </c>
      <c r="C948" s="4"/>
      <c r="D948" s="8"/>
      <c r="E948" s="4"/>
      <c r="F948" s="8"/>
      <c r="G948" s="4"/>
      <c r="H948" s="8"/>
      <c r="I948" s="4"/>
    </row>
    <row r="949" spans="1:9" x14ac:dyDescent="0.2">
      <c r="A949" s="2">
        <v>1</v>
      </c>
      <c r="B949" s="1" t="s">
        <v>89</v>
      </c>
      <c r="C949" s="4">
        <v>12</v>
      </c>
      <c r="D949" s="8">
        <v>15.38</v>
      </c>
      <c r="E949" s="4">
        <v>12</v>
      </c>
      <c r="F949" s="8">
        <v>29.27</v>
      </c>
      <c r="G949" s="4">
        <v>0</v>
      </c>
      <c r="H949" s="8">
        <v>0</v>
      </c>
      <c r="I949" s="4">
        <v>0</v>
      </c>
    </row>
    <row r="950" spans="1:9" x14ac:dyDescent="0.2">
      <c r="A950" s="2">
        <v>2</v>
      </c>
      <c r="B950" s="1" t="s">
        <v>81</v>
      </c>
      <c r="C950" s="4">
        <v>7</v>
      </c>
      <c r="D950" s="8">
        <v>8.9700000000000006</v>
      </c>
      <c r="E950" s="4">
        <v>3</v>
      </c>
      <c r="F950" s="8">
        <v>7.32</v>
      </c>
      <c r="G950" s="4">
        <v>4</v>
      </c>
      <c r="H950" s="8">
        <v>12.12</v>
      </c>
      <c r="I950" s="4">
        <v>0</v>
      </c>
    </row>
    <row r="951" spans="1:9" x14ac:dyDescent="0.2">
      <c r="A951" s="2">
        <v>3</v>
      </c>
      <c r="B951" s="1" t="s">
        <v>74</v>
      </c>
      <c r="C951" s="4">
        <v>5</v>
      </c>
      <c r="D951" s="8">
        <v>6.41</v>
      </c>
      <c r="E951" s="4">
        <v>1</v>
      </c>
      <c r="F951" s="8">
        <v>2.44</v>
      </c>
      <c r="G951" s="4">
        <v>4</v>
      </c>
      <c r="H951" s="8">
        <v>12.12</v>
      </c>
      <c r="I951" s="4">
        <v>0</v>
      </c>
    </row>
    <row r="952" spans="1:9" x14ac:dyDescent="0.2">
      <c r="A952" s="2">
        <v>3</v>
      </c>
      <c r="B952" s="1" t="s">
        <v>76</v>
      </c>
      <c r="C952" s="4">
        <v>5</v>
      </c>
      <c r="D952" s="8">
        <v>6.41</v>
      </c>
      <c r="E952" s="4">
        <v>2</v>
      </c>
      <c r="F952" s="8">
        <v>4.88</v>
      </c>
      <c r="G952" s="4">
        <v>3</v>
      </c>
      <c r="H952" s="8">
        <v>9.09</v>
      </c>
      <c r="I952" s="4">
        <v>0</v>
      </c>
    </row>
    <row r="953" spans="1:9" x14ac:dyDescent="0.2">
      <c r="A953" s="2">
        <v>3</v>
      </c>
      <c r="B953" s="1" t="s">
        <v>111</v>
      </c>
      <c r="C953" s="4">
        <v>5</v>
      </c>
      <c r="D953" s="8">
        <v>6.41</v>
      </c>
      <c r="E953" s="4">
        <v>0</v>
      </c>
      <c r="F953" s="8">
        <v>0</v>
      </c>
      <c r="G953" s="4">
        <v>5</v>
      </c>
      <c r="H953" s="8">
        <v>15.15</v>
      </c>
      <c r="I953" s="4">
        <v>0</v>
      </c>
    </row>
    <row r="954" spans="1:9" x14ac:dyDescent="0.2">
      <c r="A954" s="2">
        <v>3</v>
      </c>
      <c r="B954" s="1" t="s">
        <v>82</v>
      </c>
      <c r="C954" s="4">
        <v>5</v>
      </c>
      <c r="D954" s="8">
        <v>6.41</v>
      </c>
      <c r="E954" s="4">
        <v>3</v>
      </c>
      <c r="F954" s="8">
        <v>7.32</v>
      </c>
      <c r="G954" s="4">
        <v>2</v>
      </c>
      <c r="H954" s="8">
        <v>6.06</v>
      </c>
      <c r="I954" s="4">
        <v>0</v>
      </c>
    </row>
    <row r="955" spans="1:9" x14ac:dyDescent="0.2">
      <c r="A955" s="2">
        <v>7</v>
      </c>
      <c r="B955" s="1" t="s">
        <v>88</v>
      </c>
      <c r="C955" s="4">
        <v>4</v>
      </c>
      <c r="D955" s="8">
        <v>5.13</v>
      </c>
      <c r="E955" s="4">
        <v>4</v>
      </c>
      <c r="F955" s="8">
        <v>9.76</v>
      </c>
      <c r="G955" s="4">
        <v>0</v>
      </c>
      <c r="H955" s="8">
        <v>0</v>
      </c>
      <c r="I955" s="4">
        <v>0</v>
      </c>
    </row>
    <row r="956" spans="1:9" x14ac:dyDescent="0.2">
      <c r="A956" s="2">
        <v>7</v>
      </c>
      <c r="B956" s="1" t="s">
        <v>91</v>
      </c>
      <c r="C956" s="4">
        <v>4</v>
      </c>
      <c r="D956" s="8">
        <v>5.13</v>
      </c>
      <c r="E956" s="4">
        <v>4</v>
      </c>
      <c r="F956" s="8">
        <v>9.76</v>
      </c>
      <c r="G956" s="4">
        <v>0</v>
      </c>
      <c r="H956" s="8">
        <v>0</v>
      </c>
      <c r="I956" s="4">
        <v>0</v>
      </c>
    </row>
    <row r="957" spans="1:9" x14ac:dyDescent="0.2">
      <c r="A957" s="2">
        <v>9</v>
      </c>
      <c r="B957" s="1" t="s">
        <v>93</v>
      </c>
      <c r="C957" s="4">
        <v>3</v>
      </c>
      <c r="D957" s="8">
        <v>3.85</v>
      </c>
      <c r="E957" s="4">
        <v>3</v>
      </c>
      <c r="F957" s="8">
        <v>7.32</v>
      </c>
      <c r="G957" s="4">
        <v>0</v>
      </c>
      <c r="H957" s="8">
        <v>0</v>
      </c>
      <c r="I957" s="4">
        <v>0</v>
      </c>
    </row>
    <row r="958" spans="1:9" x14ac:dyDescent="0.2">
      <c r="A958" s="2">
        <v>10</v>
      </c>
      <c r="B958" s="1" t="s">
        <v>75</v>
      </c>
      <c r="C958" s="4">
        <v>2</v>
      </c>
      <c r="D958" s="8">
        <v>2.56</v>
      </c>
      <c r="E958" s="4">
        <v>2</v>
      </c>
      <c r="F958" s="8">
        <v>4.88</v>
      </c>
      <c r="G958" s="4">
        <v>0</v>
      </c>
      <c r="H958" s="8">
        <v>0</v>
      </c>
      <c r="I958" s="4">
        <v>0</v>
      </c>
    </row>
    <row r="959" spans="1:9" x14ac:dyDescent="0.2">
      <c r="A959" s="2">
        <v>10</v>
      </c>
      <c r="B959" s="1" t="s">
        <v>77</v>
      </c>
      <c r="C959" s="4">
        <v>2</v>
      </c>
      <c r="D959" s="8">
        <v>2.56</v>
      </c>
      <c r="E959" s="4">
        <v>2</v>
      </c>
      <c r="F959" s="8">
        <v>4.88</v>
      </c>
      <c r="G959" s="4">
        <v>0</v>
      </c>
      <c r="H959" s="8">
        <v>0</v>
      </c>
      <c r="I959" s="4">
        <v>0</v>
      </c>
    </row>
    <row r="960" spans="1:9" x14ac:dyDescent="0.2">
      <c r="A960" s="2">
        <v>10</v>
      </c>
      <c r="B960" s="1" t="s">
        <v>102</v>
      </c>
      <c r="C960" s="4">
        <v>2</v>
      </c>
      <c r="D960" s="8">
        <v>2.56</v>
      </c>
      <c r="E960" s="4">
        <v>0</v>
      </c>
      <c r="F960" s="8">
        <v>0</v>
      </c>
      <c r="G960" s="4">
        <v>2</v>
      </c>
      <c r="H960" s="8">
        <v>6.06</v>
      </c>
      <c r="I960" s="4">
        <v>0</v>
      </c>
    </row>
    <row r="961" spans="1:9" x14ac:dyDescent="0.2">
      <c r="A961" s="2">
        <v>10</v>
      </c>
      <c r="B961" s="1" t="s">
        <v>83</v>
      </c>
      <c r="C961" s="4">
        <v>2</v>
      </c>
      <c r="D961" s="8">
        <v>2.56</v>
      </c>
      <c r="E961" s="4">
        <v>0</v>
      </c>
      <c r="F961" s="8">
        <v>0</v>
      </c>
      <c r="G961" s="4">
        <v>2</v>
      </c>
      <c r="H961" s="8">
        <v>6.06</v>
      </c>
      <c r="I961" s="4">
        <v>0</v>
      </c>
    </row>
    <row r="962" spans="1:9" x14ac:dyDescent="0.2">
      <c r="A962" s="2">
        <v>10</v>
      </c>
      <c r="B962" s="1" t="s">
        <v>96</v>
      </c>
      <c r="C962" s="4">
        <v>2</v>
      </c>
      <c r="D962" s="8">
        <v>2.56</v>
      </c>
      <c r="E962" s="4">
        <v>0</v>
      </c>
      <c r="F962" s="8">
        <v>0</v>
      </c>
      <c r="G962" s="4">
        <v>2</v>
      </c>
      <c r="H962" s="8">
        <v>6.06</v>
      </c>
      <c r="I962" s="4">
        <v>0</v>
      </c>
    </row>
    <row r="963" spans="1:9" x14ac:dyDescent="0.2">
      <c r="A963" s="2">
        <v>10</v>
      </c>
      <c r="B963" s="1" t="s">
        <v>90</v>
      </c>
      <c r="C963" s="4">
        <v>2</v>
      </c>
      <c r="D963" s="8">
        <v>2.56</v>
      </c>
      <c r="E963" s="4">
        <v>0</v>
      </c>
      <c r="F963" s="8">
        <v>0</v>
      </c>
      <c r="G963" s="4">
        <v>1</v>
      </c>
      <c r="H963" s="8">
        <v>3.03</v>
      </c>
      <c r="I963" s="4">
        <v>0</v>
      </c>
    </row>
    <row r="964" spans="1:9" x14ac:dyDescent="0.2">
      <c r="A964" s="2">
        <v>16</v>
      </c>
      <c r="B964" s="1" t="s">
        <v>109</v>
      </c>
      <c r="C964" s="4">
        <v>1</v>
      </c>
      <c r="D964" s="8">
        <v>1.28</v>
      </c>
      <c r="E964" s="4">
        <v>1</v>
      </c>
      <c r="F964" s="8">
        <v>2.44</v>
      </c>
      <c r="G964" s="4">
        <v>0</v>
      </c>
      <c r="H964" s="8">
        <v>0</v>
      </c>
      <c r="I964" s="4">
        <v>0</v>
      </c>
    </row>
    <row r="965" spans="1:9" x14ac:dyDescent="0.2">
      <c r="A965" s="2">
        <v>16</v>
      </c>
      <c r="B965" s="1" t="s">
        <v>128</v>
      </c>
      <c r="C965" s="4">
        <v>1</v>
      </c>
      <c r="D965" s="8">
        <v>1.28</v>
      </c>
      <c r="E965" s="4">
        <v>0</v>
      </c>
      <c r="F965" s="8">
        <v>0</v>
      </c>
      <c r="G965" s="4">
        <v>1</v>
      </c>
      <c r="H965" s="8">
        <v>3.03</v>
      </c>
      <c r="I965" s="4">
        <v>0</v>
      </c>
    </row>
    <row r="966" spans="1:9" x14ac:dyDescent="0.2">
      <c r="A966" s="2">
        <v>16</v>
      </c>
      <c r="B966" s="1" t="s">
        <v>104</v>
      </c>
      <c r="C966" s="4">
        <v>1</v>
      </c>
      <c r="D966" s="8">
        <v>1.28</v>
      </c>
      <c r="E966" s="4">
        <v>1</v>
      </c>
      <c r="F966" s="8">
        <v>2.44</v>
      </c>
      <c r="G966" s="4">
        <v>0</v>
      </c>
      <c r="H966" s="8">
        <v>0</v>
      </c>
      <c r="I966" s="4">
        <v>0</v>
      </c>
    </row>
    <row r="967" spans="1:9" x14ac:dyDescent="0.2">
      <c r="A967" s="2">
        <v>16</v>
      </c>
      <c r="B967" s="1" t="s">
        <v>125</v>
      </c>
      <c r="C967" s="4">
        <v>1</v>
      </c>
      <c r="D967" s="8">
        <v>1.28</v>
      </c>
      <c r="E967" s="4">
        <v>1</v>
      </c>
      <c r="F967" s="8">
        <v>2.44</v>
      </c>
      <c r="G967" s="4">
        <v>0</v>
      </c>
      <c r="H967" s="8">
        <v>0</v>
      </c>
      <c r="I967" s="4">
        <v>0</v>
      </c>
    </row>
    <row r="968" spans="1:9" x14ac:dyDescent="0.2">
      <c r="A968" s="2">
        <v>16</v>
      </c>
      <c r="B968" s="1" t="s">
        <v>113</v>
      </c>
      <c r="C968" s="4">
        <v>1</v>
      </c>
      <c r="D968" s="8">
        <v>1.28</v>
      </c>
      <c r="E968" s="4">
        <v>0</v>
      </c>
      <c r="F968" s="8">
        <v>0</v>
      </c>
      <c r="G968" s="4">
        <v>0</v>
      </c>
      <c r="H968" s="8">
        <v>0</v>
      </c>
      <c r="I968" s="4">
        <v>0</v>
      </c>
    </row>
    <row r="969" spans="1:9" x14ac:dyDescent="0.2">
      <c r="A969" s="2">
        <v>16</v>
      </c>
      <c r="B969" s="1" t="s">
        <v>124</v>
      </c>
      <c r="C969" s="4">
        <v>1</v>
      </c>
      <c r="D969" s="8">
        <v>1.28</v>
      </c>
      <c r="E969" s="4">
        <v>0</v>
      </c>
      <c r="F969" s="8">
        <v>0</v>
      </c>
      <c r="G969" s="4">
        <v>1</v>
      </c>
      <c r="H969" s="8">
        <v>3.03</v>
      </c>
      <c r="I969" s="4">
        <v>0</v>
      </c>
    </row>
    <row r="970" spans="1:9" x14ac:dyDescent="0.2">
      <c r="A970" s="2">
        <v>16</v>
      </c>
      <c r="B970" s="1" t="s">
        <v>129</v>
      </c>
      <c r="C970" s="4">
        <v>1</v>
      </c>
      <c r="D970" s="8">
        <v>1.28</v>
      </c>
      <c r="E970" s="4">
        <v>0</v>
      </c>
      <c r="F970" s="8">
        <v>0</v>
      </c>
      <c r="G970" s="4">
        <v>1</v>
      </c>
      <c r="H970" s="8">
        <v>3.03</v>
      </c>
      <c r="I970" s="4">
        <v>0</v>
      </c>
    </row>
    <row r="971" spans="1:9" x14ac:dyDescent="0.2">
      <c r="A971" s="2">
        <v>16</v>
      </c>
      <c r="B971" s="1" t="s">
        <v>78</v>
      </c>
      <c r="C971" s="4">
        <v>1</v>
      </c>
      <c r="D971" s="8">
        <v>1.28</v>
      </c>
      <c r="E971" s="4">
        <v>0</v>
      </c>
      <c r="F971" s="8">
        <v>0</v>
      </c>
      <c r="G971" s="4">
        <v>1</v>
      </c>
      <c r="H971" s="8">
        <v>3.03</v>
      </c>
      <c r="I971" s="4">
        <v>0</v>
      </c>
    </row>
    <row r="972" spans="1:9" x14ac:dyDescent="0.2">
      <c r="A972" s="2">
        <v>16</v>
      </c>
      <c r="B972" s="1" t="s">
        <v>99</v>
      </c>
      <c r="C972" s="4">
        <v>1</v>
      </c>
      <c r="D972" s="8">
        <v>1.28</v>
      </c>
      <c r="E972" s="4">
        <v>1</v>
      </c>
      <c r="F972" s="8">
        <v>2.44</v>
      </c>
      <c r="G972" s="4">
        <v>0</v>
      </c>
      <c r="H972" s="8">
        <v>0</v>
      </c>
      <c r="I972" s="4">
        <v>0</v>
      </c>
    </row>
    <row r="973" spans="1:9" x14ac:dyDescent="0.2">
      <c r="A973" s="2">
        <v>16</v>
      </c>
      <c r="B973" s="1" t="s">
        <v>80</v>
      </c>
      <c r="C973" s="4">
        <v>1</v>
      </c>
      <c r="D973" s="8">
        <v>1.28</v>
      </c>
      <c r="E973" s="4">
        <v>0</v>
      </c>
      <c r="F973" s="8">
        <v>0</v>
      </c>
      <c r="G973" s="4">
        <v>1</v>
      </c>
      <c r="H973" s="8">
        <v>3.03</v>
      </c>
      <c r="I973" s="4">
        <v>0</v>
      </c>
    </row>
    <row r="974" spans="1:9" x14ac:dyDescent="0.2">
      <c r="A974" s="2">
        <v>16</v>
      </c>
      <c r="B974" s="1" t="s">
        <v>84</v>
      </c>
      <c r="C974" s="4">
        <v>1</v>
      </c>
      <c r="D974" s="8">
        <v>1.28</v>
      </c>
      <c r="E974" s="4">
        <v>1</v>
      </c>
      <c r="F974" s="8">
        <v>2.44</v>
      </c>
      <c r="G974" s="4">
        <v>0</v>
      </c>
      <c r="H974" s="8">
        <v>0</v>
      </c>
      <c r="I974" s="4">
        <v>0</v>
      </c>
    </row>
    <row r="975" spans="1:9" x14ac:dyDescent="0.2">
      <c r="A975" s="2">
        <v>16</v>
      </c>
      <c r="B975" s="1" t="s">
        <v>117</v>
      </c>
      <c r="C975" s="4">
        <v>1</v>
      </c>
      <c r="D975" s="8">
        <v>1.28</v>
      </c>
      <c r="E975" s="4">
        <v>0</v>
      </c>
      <c r="F975" s="8">
        <v>0</v>
      </c>
      <c r="G975" s="4">
        <v>1</v>
      </c>
      <c r="H975" s="8">
        <v>3.03</v>
      </c>
      <c r="I975" s="4">
        <v>0</v>
      </c>
    </row>
    <row r="976" spans="1:9" x14ac:dyDescent="0.2">
      <c r="A976" s="2">
        <v>16</v>
      </c>
      <c r="B976" s="1" t="s">
        <v>86</v>
      </c>
      <c r="C976" s="4">
        <v>1</v>
      </c>
      <c r="D976" s="8">
        <v>1.28</v>
      </c>
      <c r="E976" s="4">
        <v>0</v>
      </c>
      <c r="F976" s="8">
        <v>0</v>
      </c>
      <c r="G976" s="4">
        <v>1</v>
      </c>
      <c r="H976" s="8">
        <v>3.03</v>
      </c>
      <c r="I976" s="4">
        <v>0</v>
      </c>
    </row>
    <row r="977" spans="1:9" x14ac:dyDescent="0.2">
      <c r="A977" s="2">
        <v>16</v>
      </c>
      <c r="B977" s="1" t="s">
        <v>118</v>
      </c>
      <c r="C977" s="4">
        <v>1</v>
      </c>
      <c r="D977" s="8">
        <v>1.28</v>
      </c>
      <c r="E977" s="4">
        <v>0</v>
      </c>
      <c r="F977" s="8">
        <v>0</v>
      </c>
      <c r="G977" s="4">
        <v>0</v>
      </c>
      <c r="H977" s="8">
        <v>0</v>
      </c>
      <c r="I977" s="4">
        <v>0</v>
      </c>
    </row>
    <row r="978" spans="1:9" x14ac:dyDescent="0.2">
      <c r="A978" s="2">
        <v>16</v>
      </c>
      <c r="B978" s="1" t="s">
        <v>95</v>
      </c>
      <c r="C978" s="4">
        <v>1</v>
      </c>
      <c r="D978" s="8">
        <v>1.28</v>
      </c>
      <c r="E978" s="4">
        <v>0</v>
      </c>
      <c r="F978" s="8">
        <v>0</v>
      </c>
      <c r="G978" s="4">
        <v>1</v>
      </c>
      <c r="H978" s="8">
        <v>3.03</v>
      </c>
      <c r="I978" s="4">
        <v>0</v>
      </c>
    </row>
    <row r="979" spans="1:9" x14ac:dyDescent="0.2">
      <c r="A979" s="2">
        <v>16</v>
      </c>
      <c r="B979" s="1" t="s">
        <v>107</v>
      </c>
      <c r="C979" s="4">
        <v>1</v>
      </c>
      <c r="D979" s="8">
        <v>1.28</v>
      </c>
      <c r="E979" s="4">
        <v>0</v>
      </c>
      <c r="F979" s="8">
        <v>0</v>
      </c>
      <c r="G979" s="4">
        <v>0</v>
      </c>
      <c r="H979" s="8">
        <v>0</v>
      </c>
      <c r="I979" s="4">
        <v>0</v>
      </c>
    </row>
    <row r="980" spans="1:9" x14ac:dyDescent="0.2">
      <c r="A980" s="1"/>
      <c r="C980" s="4"/>
      <c r="D980" s="8"/>
      <c r="E980" s="4"/>
      <c r="F980" s="8"/>
      <c r="G980" s="4"/>
      <c r="H980" s="8"/>
      <c r="I980" s="4"/>
    </row>
    <row r="981" spans="1:9" x14ac:dyDescent="0.2">
      <c r="A981" s="1" t="s">
        <v>41</v>
      </c>
      <c r="C981" s="4"/>
      <c r="D981" s="8"/>
      <c r="E981" s="4"/>
      <c r="F981" s="8"/>
      <c r="G981" s="4"/>
      <c r="H981" s="8"/>
      <c r="I981" s="4"/>
    </row>
    <row r="982" spans="1:9" x14ac:dyDescent="0.2">
      <c r="A982" s="2">
        <v>1</v>
      </c>
      <c r="B982" s="1" t="s">
        <v>89</v>
      </c>
      <c r="C982" s="4">
        <v>24</v>
      </c>
      <c r="D982" s="8">
        <v>10.53</v>
      </c>
      <c r="E982" s="4">
        <v>18</v>
      </c>
      <c r="F982" s="8">
        <v>14.63</v>
      </c>
      <c r="G982" s="4">
        <v>6</v>
      </c>
      <c r="H982" s="8">
        <v>5.88</v>
      </c>
      <c r="I982" s="4">
        <v>0</v>
      </c>
    </row>
    <row r="983" spans="1:9" x14ac:dyDescent="0.2">
      <c r="A983" s="2">
        <v>2</v>
      </c>
      <c r="B983" s="1" t="s">
        <v>83</v>
      </c>
      <c r="C983" s="4">
        <v>19</v>
      </c>
      <c r="D983" s="8">
        <v>8.33</v>
      </c>
      <c r="E983" s="4">
        <v>5</v>
      </c>
      <c r="F983" s="8">
        <v>4.07</v>
      </c>
      <c r="G983" s="4">
        <v>14</v>
      </c>
      <c r="H983" s="8">
        <v>13.73</v>
      </c>
      <c r="I983" s="4">
        <v>0</v>
      </c>
    </row>
    <row r="984" spans="1:9" x14ac:dyDescent="0.2">
      <c r="A984" s="2">
        <v>3</v>
      </c>
      <c r="B984" s="1" t="s">
        <v>81</v>
      </c>
      <c r="C984" s="4">
        <v>17</v>
      </c>
      <c r="D984" s="8">
        <v>7.46</v>
      </c>
      <c r="E984" s="4">
        <v>10</v>
      </c>
      <c r="F984" s="8">
        <v>8.1300000000000008</v>
      </c>
      <c r="G984" s="4">
        <v>7</v>
      </c>
      <c r="H984" s="8">
        <v>6.86</v>
      </c>
      <c r="I984" s="4">
        <v>0</v>
      </c>
    </row>
    <row r="985" spans="1:9" x14ac:dyDescent="0.2">
      <c r="A985" s="2">
        <v>3</v>
      </c>
      <c r="B985" s="1" t="s">
        <v>88</v>
      </c>
      <c r="C985" s="4">
        <v>17</v>
      </c>
      <c r="D985" s="8">
        <v>7.46</v>
      </c>
      <c r="E985" s="4">
        <v>15</v>
      </c>
      <c r="F985" s="8">
        <v>12.2</v>
      </c>
      <c r="G985" s="4">
        <v>2</v>
      </c>
      <c r="H985" s="8">
        <v>1.96</v>
      </c>
      <c r="I985" s="4">
        <v>0</v>
      </c>
    </row>
    <row r="986" spans="1:9" x14ac:dyDescent="0.2">
      <c r="A986" s="2">
        <v>5</v>
      </c>
      <c r="B986" s="1" t="s">
        <v>74</v>
      </c>
      <c r="C986" s="4">
        <v>15</v>
      </c>
      <c r="D986" s="8">
        <v>6.58</v>
      </c>
      <c r="E986" s="4">
        <v>4</v>
      </c>
      <c r="F986" s="8">
        <v>3.25</v>
      </c>
      <c r="G986" s="4">
        <v>11</v>
      </c>
      <c r="H986" s="8">
        <v>10.78</v>
      </c>
      <c r="I986" s="4">
        <v>0</v>
      </c>
    </row>
    <row r="987" spans="1:9" x14ac:dyDescent="0.2">
      <c r="A987" s="2">
        <v>6</v>
      </c>
      <c r="B987" s="1" t="s">
        <v>82</v>
      </c>
      <c r="C987" s="4">
        <v>13</v>
      </c>
      <c r="D987" s="8">
        <v>5.7</v>
      </c>
      <c r="E987" s="4">
        <v>10</v>
      </c>
      <c r="F987" s="8">
        <v>8.1300000000000008</v>
      </c>
      <c r="G987" s="4">
        <v>3</v>
      </c>
      <c r="H987" s="8">
        <v>2.94</v>
      </c>
      <c r="I987" s="4">
        <v>0</v>
      </c>
    </row>
    <row r="988" spans="1:9" x14ac:dyDescent="0.2">
      <c r="A988" s="2">
        <v>7</v>
      </c>
      <c r="B988" s="1" t="s">
        <v>91</v>
      </c>
      <c r="C988" s="4">
        <v>12</v>
      </c>
      <c r="D988" s="8">
        <v>5.26</v>
      </c>
      <c r="E988" s="4">
        <v>9</v>
      </c>
      <c r="F988" s="8">
        <v>7.32</v>
      </c>
      <c r="G988" s="4">
        <v>3</v>
      </c>
      <c r="H988" s="8">
        <v>2.94</v>
      </c>
      <c r="I988" s="4">
        <v>0</v>
      </c>
    </row>
    <row r="989" spans="1:9" x14ac:dyDescent="0.2">
      <c r="A989" s="2">
        <v>8</v>
      </c>
      <c r="B989" s="1" t="s">
        <v>80</v>
      </c>
      <c r="C989" s="4">
        <v>11</v>
      </c>
      <c r="D989" s="8">
        <v>4.82</v>
      </c>
      <c r="E989" s="4">
        <v>2</v>
      </c>
      <c r="F989" s="8">
        <v>1.63</v>
      </c>
      <c r="G989" s="4">
        <v>9</v>
      </c>
      <c r="H989" s="8">
        <v>8.82</v>
      </c>
      <c r="I989" s="4">
        <v>0</v>
      </c>
    </row>
    <row r="990" spans="1:9" x14ac:dyDescent="0.2">
      <c r="A990" s="2">
        <v>9</v>
      </c>
      <c r="B990" s="1" t="s">
        <v>97</v>
      </c>
      <c r="C990" s="4">
        <v>9</v>
      </c>
      <c r="D990" s="8">
        <v>3.95</v>
      </c>
      <c r="E990" s="4">
        <v>3</v>
      </c>
      <c r="F990" s="8">
        <v>2.44</v>
      </c>
      <c r="G990" s="4">
        <v>6</v>
      </c>
      <c r="H990" s="8">
        <v>5.88</v>
      </c>
      <c r="I990" s="4">
        <v>0</v>
      </c>
    </row>
    <row r="991" spans="1:9" x14ac:dyDescent="0.2">
      <c r="A991" s="2">
        <v>10</v>
      </c>
      <c r="B991" s="1" t="s">
        <v>93</v>
      </c>
      <c r="C991" s="4">
        <v>8</v>
      </c>
      <c r="D991" s="8">
        <v>3.51</v>
      </c>
      <c r="E991" s="4">
        <v>8</v>
      </c>
      <c r="F991" s="8">
        <v>6.5</v>
      </c>
      <c r="G991" s="4">
        <v>0</v>
      </c>
      <c r="H991" s="8">
        <v>0</v>
      </c>
      <c r="I991" s="4">
        <v>0</v>
      </c>
    </row>
    <row r="992" spans="1:9" x14ac:dyDescent="0.2">
      <c r="A992" s="2">
        <v>11</v>
      </c>
      <c r="B992" s="1" t="s">
        <v>87</v>
      </c>
      <c r="C992" s="4">
        <v>7</v>
      </c>
      <c r="D992" s="8">
        <v>3.07</v>
      </c>
      <c r="E992" s="4">
        <v>4</v>
      </c>
      <c r="F992" s="8">
        <v>3.25</v>
      </c>
      <c r="G992" s="4">
        <v>3</v>
      </c>
      <c r="H992" s="8">
        <v>2.94</v>
      </c>
      <c r="I992" s="4">
        <v>0</v>
      </c>
    </row>
    <row r="993" spans="1:9" x14ac:dyDescent="0.2">
      <c r="A993" s="2">
        <v>12</v>
      </c>
      <c r="B993" s="1" t="s">
        <v>75</v>
      </c>
      <c r="C993" s="4">
        <v>6</v>
      </c>
      <c r="D993" s="8">
        <v>2.63</v>
      </c>
      <c r="E993" s="4">
        <v>2</v>
      </c>
      <c r="F993" s="8">
        <v>1.63</v>
      </c>
      <c r="G993" s="4">
        <v>4</v>
      </c>
      <c r="H993" s="8">
        <v>3.92</v>
      </c>
      <c r="I993" s="4">
        <v>0</v>
      </c>
    </row>
    <row r="994" spans="1:9" x14ac:dyDescent="0.2">
      <c r="A994" s="2">
        <v>12</v>
      </c>
      <c r="B994" s="1" t="s">
        <v>76</v>
      </c>
      <c r="C994" s="4">
        <v>6</v>
      </c>
      <c r="D994" s="8">
        <v>2.63</v>
      </c>
      <c r="E994" s="4">
        <v>4</v>
      </c>
      <c r="F994" s="8">
        <v>3.25</v>
      </c>
      <c r="G994" s="4">
        <v>2</v>
      </c>
      <c r="H994" s="8">
        <v>1.96</v>
      </c>
      <c r="I994" s="4">
        <v>0</v>
      </c>
    </row>
    <row r="995" spans="1:9" x14ac:dyDescent="0.2">
      <c r="A995" s="2">
        <v>12</v>
      </c>
      <c r="B995" s="1" t="s">
        <v>108</v>
      </c>
      <c r="C995" s="4">
        <v>6</v>
      </c>
      <c r="D995" s="8">
        <v>2.63</v>
      </c>
      <c r="E995" s="4">
        <v>4</v>
      </c>
      <c r="F995" s="8">
        <v>3.25</v>
      </c>
      <c r="G995" s="4">
        <v>2</v>
      </c>
      <c r="H995" s="8">
        <v>1.96</v>
      </c>
      <c r="I995" s="4">
        <v>0</v>
      </c>
    </row>
    <row r="996" spans="1:9" x14ac:dyDescent="0.2">
      <c r="A996" s="2">
        <v>15</v>
      </c>
      <c r="B996" s="1" t="s">
        <v>125</v>
      </c>
      <c r="C996" s="4">
        <v>5</v>
      </c>
      <c r="D996" s="8">
        <v>2.19</v>
      </c>
      <c r="E996" s="4">
        <v>4</v>
      </c>
      <c r="F996" s="8">
        <v>3.25</v>
      </c>
      <c r="G996" s="4">
        <v>1</v>
      </c>
      <c r="H996" s="8">
        <v>0.98</v>
      </c>
      <c r="I996" s="4">
        <v>0</v>
      </c>
    </row>
    <row r="997" spans="1:9" x14ac:dyDescent="0.2">
      <c r="A997" s="2">
        <v>16</v>
      </c>
      <c r="B997" s="1" t="s">
        <v>77</v>
      </c>
      <c r="C997" s="4">
        <v>4</v>
      </c>
      <c r="D997" s="8">
        <v>1.75</v>
      </c>
      <c r="E997" s="4">
        <v>3</v>
      </c>
      <c r="F997" s="8">
        <v>2.44</v>
      </c>
      <c r="G997" s="4">
        <v>1</v>
      </c>
      <c r="H997" s="8">
        <v>0.98</v>
      </c>
      <c r="I997" s="4">
        <v>0</v>
      </c>
    </row>
    <row r="998" spans="1:9" x14ac:dyDescent="0.2">
      <c r="A998" s="2">
        <v>16</v>
      </c>
      <c r="B998" s="1" t="s">
        <v>99</v>
      </c>
      <c r="C998" s="4">
        <v>4</v>
      </c>
      <c r="D998" s="8">
        <v>1.75</v>
      </c>
      <c r="E998" s="4">
        <v>2</v>
      </c>
      <c r="F998" s="8">
        <v>1.63</v>
      </c>
      <c r="G998" s="4">
        <v>2</v>
      </c>
      <c r="H998" s="8">
        <v>1.96</v>
      </c>
      <c r="I998" s="4">
        <v>0</v>
      </c>
    </row>
    <row r="999" spans="1:9" x14ac:dyDescent="0.2">
      <c r="A999" s="2">
        <v>16</v>
      </c>
      <c r="B999" s="1" t="s">
        <v>90</v>
      </c>
      <c r="C999" s="4">
        <v>4</v>
      </c>
      <c r="D999" s="8">
        <v>1.75</v>
      </c>
      <c r="E999" s="4">
        <v>3</v>
      </c>
      <c r="F999" s="8">
        <v>2.44</v>
      </c>
      <c r="G999" s="4">
        <v>0</v>
      </c>
      <c r="H999" s="8">
        <v>0</v>
      </c>
      <c r="I999" s="4">
        <v>0</v>
      </c>
    </row>
    <row r="1000" spans="1:9" x14ac:dyDescent="0.2">
      <c r="A1000" s="2">
        <v>19</v>
      </c>
      <c r="B1000" s="1" t="s">
        <v>79</v>
      </c>
      <c r="C1000" s="4">
        <v>3</v>
      </c>
      <c r="D1000" s="8">
        <v>1.32</v>
      </c>
      <c r="E1000" s="4">
        <v>0</v>
      </c>
      <c r="F1000" s="8">
        <v>0</v>
      </c>
      <c r="G1000" s="4">
        <v>3</v>
      </c>
      <c r="H1000" s="8">
        <v>2.94</v>
      </c>
      <c r="I1000" s="4">
        <v>0</v>
      </c>
    </row>
    <row r="1001" spans="1:9" x14ac:dyDescent="0.2">
      <c r="A1001" s="2">
        <v>19</v>
      </c>
      <c r="B1001" s="1" t="s">
        <v>98</v>
      </c>
      <c r="C1001" s="4">
        <v>3</v>
      </c>
      <c r="D1001" s="8">
        <v>1.32</v>
      </c>
      <c r="E1001" s="4">
        <v>1</v>
      </c>
      <c r="F1001" s="8">
        <v>0.81</v>
      </c>
      <c r="G1001" s="4">
        <v>2</v>
      </c>
      <c r="H1001" s="8">
        <v>1.96</v>
      </c>
      <c r="I1001" s="4">
        <v>0</v>
      </c>
    </row>
    <row r="1002" spans="1:9" x14ac:dyDescent="0.2">
      <c r="A1002" s="2">
        <v>19</v>
      </c>
      <c r="B1002" s="1" t="s">
        <v>85</v>
      </c>
      <c r="C1002" s="4">
        <v>3</v>
      </c>
      <c r="D1002" s="8">
        <v>1.32</v>
      </c>
      <c r="E1002" s="4">
        <v>0</v>
      </c>
      <c r="F1002" s="8">
        <v>0</v>
      </c>
      <c r="G1002" s="4">
        <v>3</v>
      </c>
      <c r="H1002" s="8">
        <v>2.94</v>
      </c>
      <c r="I1002" s="4">
        <v>0</v>
      </c>
    </row>
    <row r="1003" spans="1:9" x14ac:dyDescent="0.2">
      <c r="A1003" s="2">
        <v>19</v>
      </c>
      <c r="B1003" s="1" t="s">
        <v>86</v>
      </c>
      <c r="C1003" s="4">
        <v>3</v>
      </c>
      <c r="D1003" s="8">
        <v>1.32</v>
      </c>
      <c r="E1003" s="4">
        <v>2</v>
      </c>
      <c r="F1003" s="8">
        <v>1.63</v>
      </c>
      <c r="G1003" s="4">
        <v>1</v>
      </c>
      <c r="H1003" s="8">
        <v>0.98</v>
      </c>
      <c r="I1003" s="4">
        <v>0</v>
      </c>
    </row>
    <row r="1004" spans="1:9" x14ac:dyDescent="0.2">
      <c r="A1004" s="2">
        <v>19</v>
      </c>
      <c r="B1004" s="1" t="s">
        <v>106</v>
      </c>
      <c r="C1004" s="4">
        <v>3</v>
      </c>
      <c r="D1004" s="8">
        <v>1.32</v>
      </c>
      <c r="E1004" s="4">
        <v>2</v>
      </c>
      <c r="F1004" s="8">
        <v>1.63</v>
      </c>
      <c r="G1004" s="4">
        <v>1</v>
      </c>
      <c r="H1004" s="8">
        <v>0.98</v>
      </c>
      <c r="I1004" s="4">
        <v>0</v>
      </c>
    </row>
    <row r="1005" spans="1:9" x14ac:dyDescent="0.2">
      <c r="A1005" s="2">
        <v>19</v>
      </c>
      <c r="B1005" s="1" t="s">
        <v>101</v>
      </c>
      <c r="C1005" s="4">
        <v>3</v>
      </c>
      <c r="D1005" s="8">
        <v>1.32</v>
      </c>
      <c r="E1005" s="4">
        <v>1</v>
      </c>
      <c r="F1005" s="8">
        <v>0.81</v>
      </c>
      <c r="G1005" s="4">
        <v>1</v>
      </c>
      <c r="H1005" s="8">
        <v>0.98</v>
      </c>
      <c r="I1005" s="4">
        <v>0</v>
      </c>
    </row>
    <row r="1006" spans="1:9" x14ac:dyDescent="0.2">
      <c r="A1006" s="1"/>
      <c r="C1006" s="4"/>
      <c r="D1006" s="8"/>
      <c r="E1006" s="4"/>
      <c r="F1006" s="8"/>
      <c r="G1006" s="4"/>
      <c r="H1006" s="8"/>
      <c r="I1006" s="4"/>
    </row>
    <row r="1007" spans="1:9" x14ac:dyDescent="0.2">
      <c r="A1007" s="1" t="s">
        <v>42</v>
      </c>
      <c r="C1007" s="4"/>
      <c r="D1007" s="8"/>
      <c r="E1007" s="4"/>
      <c r="F1007" s="8"/>
      <c r="G1007" s="4"/>
      <c r="H1007" s="8"/>
      <c r="I1007" s="4"/>
    </row>
    <row r="1008" spans="1:9" x14ac:dyDescent="0.2">
      <c r="A1008" s="2">
        <v>1</v>
      </c>
      <c r="B1008" s="1" t="s">
        <v>89</v>
      </c>
      <c r="C1008" s="4">
        <v>47</v>
      </c>
      <c r="D1008" s="8">
        <v>18.079999999999998</v>
      </c>
      <c r="E1008" s="4">
        <v>44</v>
      </c>
      <c r="F1008" s="8">
        <v>24.86</v>
      </c>
      <c r="G1008" s="4">
        <v>2</v>
      </c>
      <c r="H1008" s="8">
        <v>2.56</v>
      </c>
      <c r="I1008" s="4">
        <v>0</v>
      </c>
    </row>
    <row r="1009" spans="1:9" x14ac:dyDescent="0.2">
      <c r="A1009" s="2">
        <v>2</v>
      </c>
      <c r="B1009" s="1" t="s">
        <v>88</v>
      </c>
      <c r="C1009" s="4">
        <v>35</v>
      </c>
      <c r="D1009" s="8">
        <v>13.46</v>
      </c>
      <c r="E1009" s="4">
        <v>35</v>
      </c>
      <c r="F1009" s="8">
        <v>19.77</v>
      </c>
      <c r="G1009" s="4">
        <v>0</v>
      </c>
      <c r="H1009" s="8">
        <v>0</v>
      </c>
      <c r="I1009" s="4">
        <v>0</v>
      </c>
    </row>
    <row r="1010" spans="1:9" x14ac:dyDescent="0.2">
      <c r="A1010" s="2">
        <v>3</v>
      </c>
      <c r="B1010" s="1" t="s">
        <v>83</v>
      </c>
      <c r="C1010" s="4">
        <v>25</v>
      </c>
      <c r="D1010" s="8">
        <v>9.6199999999999992</v>
      </c>
      <c r="E1010" s="4">
        <v>13</v>
      </c>
      <c r="F1010" s="8">
        <v>7.34</v>
      </c>
      <c r="G1010" s="4">
        <v>12</v>
      </c>
      <c r="H1010" s="8">
        <v>15.38</v>
      </c>
      <c r="I1010" s="4">
        <v>0</v>
      </c>
    </row>
    <row r="1011" spans="1:9" x14ac:dyDescent="0.2">
      <c r="A1011" s="2">
        <v>4</v>
      </c>
      <c r="B1011" s="1" t="s">
        <v>74</v>
      </c>
      <c r="C1011" s="4">
        <v>11</v>
      </c>
      <c r="D1011" s="8">
        <v>4.2300000000000004</v>
      </c>
      <c r="E1011" s="4">
        <v>6</v>
      </c>
      <c r="F1011" s="8">
        <v>3.39</v>
      </c>
      <c r="G1011" s="4">
        <v>5</v>
      </c>
      <c r="H1011" s="8">
        <v>6.41</v>
      </c>
      <c r="I1011" s="4">
        <v>0</v>
      </c>
    </row>
    <row r="1012" spans="1:9" x14ac:dyDescent="0.2">
      <c r="A1012" s="2">
        <v>4</v>
      </c>
      <c r="B1012" s="1" t="s">
        <v>75</v>
      </c>
      <c r="C1012" s="4">
        <v>11</v>
      </c>
      <c r="D1012" s="8">
        <v>4.2300000000000004</v>
      </c>
      <c r="E1012" s="4">
        <v>8</v>
      </c>
      <c r="F1012" s="8">
        <v>4.5199999999999996</v>
      </c>
      <c r="G1012" s="4">
        <v>3</v>
      </c>
      <c r="H1012" s="8">
        <v>3.85</v>
      </c>
      <c r="I1012" s="4">
        <v>0</v>
      </c>
    </row>
    <row r="1013" spans="1:9" x14ac:dyDescent="0.2">
      <c r="A1013" s="2">
        <v>6</v>
      </c>
      <c r="B1013" s="1" t="s">
        <v>82</v>
      </c>
      <c r="C1013" s="4">
        <v>10</v>
      </c>
      <c r="D1013" s="8">
        <v>3.85</v>
      </c>
      <c r="E1013" s="4">
        <v>4</v>
      </c>
      <c r="F1013" s="8">
        <v>2.2599999999999998</v>
      </c>
      <c r="G1013" s="4">
        <v>6</v>
      </c>
      <c r="H1013" s="8">
        <v>7.69</v>
      </c>
      <c r="I1013" s="4">
        <v>0</v>
      </c>
    </row>
    <row r="1014" spans="1:9" x14ac:dyDescent="0.2">
      <c r="A1014" s="2">
        <v>6</v>
      </c>
      <c r="B1014" s="1" t="s">
        <v>87</v>
      </c>
      <c r="C1014" s="4">
        <v>10</v>
      </c>
      <c r="D1014" s="8">
        <v>3.85</v>
      </c>
      <c r="E1014" s="4">
        <v>9</v>
      </c>
      <c r="F1014" s="8">
        <v>5.08</v>
      </c>
      <c r="G1014" s="4">
        <v>1</v>
      </c>
      <c r="H1014" s="8">
        <v>1.28</v>
      </c>
      <c r="I1014" s="4">
        <v>0</v>
      </c>
    </row>
    <row r="1015" spans="1:9" x14ac:dyDescent="0.2">
      <c r="A1015" s="2">
        <v>8</v>
      </c>
      <c r="B1015" s="1" t="s">
        <v>81</v>
      </c>
      <c r="C1015" s="4">
        <v>9</v>
      </c>
      <c r="D1015" s="8">
        <v>3.46</v>
      </c>
      <c r="E1015" s="4">
        <v>6</v>
      </c>
      <c r="F1015" s="8">
        <v>3.39</v>
      </c>
      <c r="G1015" s="4">
        <v>3</v>
      </c>
      <c r="H1015" s="8">
        <v>3.85</v>
      </c>
      <c r="I1015" s="4">
        <v>0</v>
      </c>
    </row>
    <row r="1016" spans="1:9" x14ac:dyDescent="0.2">
      <c r="A1016" s="2">
        <v>9</v>
      </c>
      <c r="B1016" s="1" t="s">
        <v>90</v>
      </c>
      <c r="C1016" s="4">
        <v>8</v>
      </c>
      <c r="D1016" s="8">
        <v>3.08</v>
      </c>
      <c r="E1016" s="4">
        <v>4</v>
      </c>
      <c r="F1016" s="8">
        <v>2.2599999999999998</v>
      </c>
      <c r="G1016" s="4">
        <v>2</v>
      </c>
      <c r="H1016" s="8">
        <v>2.56</v>
      </c>
      <c r="I1016" s="4">
        <v>1</v>
      </c>
    </row>
    <row r="1017" spans="1:9" x14ac:dyDescent="0.2">
      <c r="A1017" s="2">
        <v>10</v>
      </c>
      <c r="B1017" s="1" t="s">
        <v>76</v>
      </c>
      <c r="C1017" s="4">
        <v>7</v>
      </c>
      <c r="D1017" s="8">
        <v>2.69</v>
      </c>
      <c r="E1017" s="4">
        <v>2</v>
      </c>
      <c r="F1017" s="8">
        <v>1.1299999999999999</v>
      </c>
      <c r="G1017" s="4">
        <v>5</v>
      </c>
      <c r="H1017" s="8">
        <v>6.41</v>
      </c>
      <c r="I1017" s="4">
        <v>0</v>
      </c>
    </row>
    <row r="1018" spans="1:9" x14ac:dyDescent="0.2">
      <c r="A1018" s="2">
        <v>11</v>
      </c>
      <c r="B1018" s="1" t="s">
        <v>77</v>
      </c>
      <c r="C1018" s="4">
        <v>6</v>
      </c>
      <c r="D1018" s="8">
        <v>2.31</v>
      </c>
      <c r="E1018" s="4">
        <v>4</v>
      </c>
      <c r="F1018" s="8">
        <v>2.2599999999999998</v>
      </c>
      <c r="G1018" s="4">
        <v>2</v>
      </c>
      <c r="H1018" s="8">
        <v>2.56</v>
      </c>
      <c r="I1018" s="4">
        <v>0</v>
      </c>
    </row>
    <row r="1019" spans="1:9" x14ac:dyDescent="0.2">
      <c r="A1019" s="2">
        <v>11</v>
      </c>
      <c r="B1019" s="1" t="s">
        <v>109</v>
      </c>
      <c r="C1019" s="4">
        <v>6</v>
      </c>
      <c r="D1019" s="8">
        <v>2.31</v>
      </c>
      <c r="E1019" s="4">
        <v>2</v>
      </c>
      <c r="F1019" s="8">
        <v>1.1299999999999999</v>
      </c>
      <c r="G1019" s="4">
        <v>4</v>
      </c>
      <c r="H1019" s="8">
        <v>5.13</v>
      </c>
      <c r="I1019" s="4">
        <v>0</v>
      </c>
    </row>
    <row r="1020" spans="1:9" x14ac:dyDescent="0.2">
      <c r="A1020" s="2">
        <v>11</v>
      </c>
      <c r="B1020" s="1" t="s">
        <v>86</v>
      </c>
      <c r="C1020" s="4">
        <v>6</v>
      </c>
      <c r="D1020" s="8">
        <v>2.31</v>
      </c>
      <c r="E1020" s="4">
        <v>4</v>
      </c>
      <c r="F1020" s="8">
        <v>2.2599999999999998</v>
      </c>
      <c r="G1020" s="4">
        <v>2</v>
      </c>
      <c r="H1020" s="8">
        <v>2.56</v>
      </c>
      <c r="I1020" s="4">
        <v>0</v>
      </c>
    </row>
    <row r="1021" spans="1:9" x14ac:dyDescent="0.2">
      <c r="A1021" s="2">
        <v>14</v>
      </c>
      <c r="B1021" s="1" t="s">
        <v>97</v>
      </c>
      <c r="C1021" s="4">
        <v>5</v>
      </c>
      <c r="D1021" s="8">
        <v>1.92</v>
      </c>
      <c r="E1021" s="4">
        <v>3</v>
      </c>
      <c r="F1021" s="8">
        <v>1.69</v>
      </c>
      <c r="G1021" s="4">
        <v>2</v>
      </c>
      <c r="H1021" s="8">
        <v>2.56</v>
      </c>
      <c r="I1021" s="4">
        <v>0</v>
      </c>
    </row>
    <row r="1022" spans="1:9" x14ac:dyDescent="0.2">
      <c r="A1022" s="2">
        <v>14</v>
      </c>
      <c r="B1022" s="1" t="s">
        <v>93</v>
      </c>
      <c r="C1022" s="4">
        <v>5</v>
      </c>
      <c r="D1022" s="8">
        <v>1.92</v>
      </c>
      <c r="E1022" s="4">
        <v>4</v>
      </c>
      <c r="F1022" s="8">
        <v>2.2599999999999998</v>
      </c>
      <c r="G1022" s="4">
        <v>1</v>
      </c>
      <c r="H1022" s="8">
        <v>1.28</v>
      </c>
      <c r="I1022" s="4">
        <v>0</v>
      </c>
    </row>
    <row r="1023" spans="1:9" x14ac:dyDescent="0.2">
      <c r="A1023" s="2">
        <v>16</v>
      </c>
      <c r="B1023" s="1" t="s">
        <v>108</v>
      </c>
      <c r="C1023" s="4">
        <v>4</v>
      </c>
      <c r="D1023" s="8">
        <v>1.54</v>
      </c>
      <c r="E1023" s="4">
        <v>1</v>
      </c>
      <c r="F1023" s="8">
        <v>0.56000000000000005</v>
      </c>
      <c r="G1023" s="4">
        <v>3</v>
      </c>
      <c r="H1023" s="8">
        <v>3.85</v>
      </c>
      <c r="I1023" s="4">
        <v>0</v>
      </c>
    </row>
    <row r="1024" spans="1:9" x14ac:dyDescent="0.2">
      <c r="A1024" s="2">
        <v>16</v>
      </c>
      <c r="B1024" s="1" t="s">
        <v>110</v>
      </c>
      <c r="C1024" s="4">
        <v>4</v>
      </c>
      <c r="D1024" s="8">
        <v>1.54</v>
      </c>
      <c r="E1024" s="4">
        <v>4</v>
      </c>
      <c r="F1024" s="8">
        <v>2.2599999999999998</v>
      </c>
      <c r="G1024" s="4">
        <v>0</v>
      </c>
      <c r="H1024" s="8">
        <v>0</v>
      </c>
      <c r="I1024" s="4">
        <v>0</v>
      </c>
    </row>
    <row r="1025" spans="1:9" x14ac:dyDescent="0.2">
      <c r="A1025" s="2">
        <v>16</v>
      </c>
      <c r="B1025" s="1" t="s">
        <v>99</v>
      </c>
      <c r="C1025" s="4">
        <v>4</v>
      </c>
      <c r="D1025" s="8">
        <v>1.54</v>
      </c>
      <c r="E1025" s="4">
        <v>3</v>
      </c>
      <c r="F1025" s="8">
        <v>1.69</v>
      </c>
      <c r="G1025" s="4">
        <v>1</v>
      </c>
      <c r="H1025" s="8">
        <v>1.28</v>
      </c>
      <c r="I1025" s="4">
        <v>0</v>
      </c>
    </row>
    <row r="1026" spans="1:9" x14ac:dyDescent="0.2">
      <c r="A1026" s="2">
        <v>16</v>
      </c>
      <c r="B1026" s="1" t="s">
        <v>79</v>
      </c>
      <c r="C1026" s="4">
        <v>4</v>
      </c>
      <c r="D1026" s="8">
        <v>1.54</v>
      </c>
      <c r="E1026" s="4">
        <v>1</v>
      </c>
      <c r="F1026" s="8">
        <v>0.56000000000000005</v>
      </c>
      <c r="G1026" s="4">
        <v>3</v>
      </c>
      <c r="H1026" s="8">
        <v>3.85</v>
      </c>
      <c r="I1026" s="4">
        <v>0</v>
      </c>
    </row>
    <row r="1027" spans="1:9" x14ac:dyDescent="0.2">
      <c r="A1027" s="2">
        <v>16</v>
      </c>
      <c r="B1027" s="1" t="s">
        <v>80</v>
      </c>
      <c r="C1027" s="4">
        <v>4</v>
      </c>
      <c r="D1027" s="8">
        <v>1.54</v>
      </c>
      <c r="E1027" s="4">
        <v>4</v>
      </c>
      <c r="F1027" s="8">
        <v>2.2599999999999998</v>
      </c>
      <c r="G1027" s="4">
        <v>0</v>
      </c>
      <c r="H1027" s="8">
        <v>0</v>
      </c>
      <c r="I1027" s="4">
        <v>0</v>
      </c>
    </row>
    <row r="1028" spans="1:9" x14ac:dyDescent="0.2">
      <c r="A1028" s="2">
        <v>16</v>
      </c>
      <c r="B1028" s="1" t="s">
        <v>117</v>
      </c>
      <c r="C1028" s="4">
        <v>4</v>
      </c>
      <c r="D1028" s="8">
        <v>1.54</v>
      </c>
      <c r="E1028" s="4">
        <v>1</v>
      </c>
      <c r="F1028" s="8">
        <v>0.56000000000000005</v>
      </c>
      <c r="G1028" s="4">
        <v>3</v>
      </c>
      <c r="H1028" s="8">
        <v>3.85</v>
      </c>
      <c r="I1028" s="4">
        <v>0</v>
      </c>
    </row>
    <row r="1029" spans="1:9" x14ac:dyDescent="0.2">
      <c r="A1029" s="2">
        <v>16</v>
      </c>
      <c r="B1029" s="1" t="s">
        <v>101</v>
      </c>
      <c r="C1029" s="4">
        <v>4</v>
      </c>
      <c r="D1029" s="8">
        <v>1.54</v>
      </c>
      <c r="E1029" s="4">
        <v>3</v>
      </c>
      <c r="F1029" s="8">
        <v>1.69</v>
      </c>
      <c r="G1029" s="4">
        <v>0</v>
      </c>
      <c r="H1029" s="8">
        <v>0</v>
      </c>
      <c r="I1029" s="4">
        <v>0</v>
      </c>
    </row>
    <row r="1030" spans="1:9" x14ac:dyDescent="0.2">
      <c r="A1030" s="1"/>
      <c r="C1030" s="4"/>
      <c r="D1030" s="8"/>
      <c r="E1030" s="4"/>
      <c r="F1030" s="8"/>
      <c r="G1030" s="4"/>
      <c r="H1030" s="8"/>
      <c r="I1030" s="4"/>
    </row>
    <row r="1031" spans="1:9" x14ac:dyDescent="0.2">
      <c r="A1031" s="1" t="s">
        <v>43</v>
      </c>
      <c r="C1031" s="4"/>
      <c r="D1031" s="8"/>
      <c r="E1031" s="4"/>
      <c r="F1031" s="8"/>
      <c r="G1031" s="4"/>
      <c r="H1031" s="8"/>
      <c r="I1031" s="4"/>
    </row>
    <row r="1032" spans="1:9" x14ac:dyDescent="0.2">
      <c r="A1032" s="2">
        <v>1</v>
      </c>
      <c r="B1032" s="1" t="s">
        <v>89</v>
      </c>
      <c r="C1032" s="4">
        <v>18</v>
      </c>
      <c r="D1032" s="8">
        <v>15.65</v>
      </c>
      <c r="E1032" s="4">
        <v>16</v>
      </c>
      <c r="F1032" s="8">
        <v>21.62</v>
      </c>
      <c r="G1032" s="4">
        <v>2</v>
      </c>
      <c r="H1032" s="8">
        <v>5.26</v>
      </c>
      <c r="I1032" s="4">
        <v>0</v>
      </c>
    </row>
    <row r="1033" spans="1:9" x14ac:dyDescent="0.2">
      <c r="A1033" s="2">
        <v>2</v>
      </c>
      <c r="B1033" s="1" t="s">
        <v>83</v>
      </c>
      <c r="C1033" s="4">
        <v>15</v>
      </c>
      <c r="D1033" s="8">
        <v>13.04</v>
      </c>
      <c r="E1033" s="4">
        <v>9</v>
      </c>
      <c r="F1033" s="8">
        <v>12.16</v>
      </c>
      <c r="G1033" s="4">
        <v>6</v>
      </c>
      <c r="H1033" s="8">
        <v>15.79</v>
      </c>
      <c r="I1033" s="4">
        <v>0</v>
      </c>
    </row>
    <row r="1034" spans="1:9" x14ac:dyDescent="0.2">
      <c r="A1034" s="2">
        <v>3</v>
      </c>
      <c r="B1034" s="1" t="s">
        <v>74</v>
      </c>
      <c r="C1034" s="4">
        <v>12</v>
      </c>
      <c r="D1034" s="8">
        <v>10.43</v>
      </c>
      <c r="E1034" s="4">
        <v>6</v>
      </c>
      <c r="F1034" s="8">
        <v>8.11</v>
      </c>
      <c r="G1034" s="4">
        <v>6</v>
      </c>
      <c r="H1034" s="8">
        <v>15.79</v>
      </c>
      <c r="I1034" s="4">
        <v>0</v>
      </c>
    </row>
    <row r="1035" spans="1:9" x14ac:dyDescent="0.2">
      <c r="A1035" s="2">
        <v>3</v>
      </c>
      <c r="B1035" s="1" t="s">
        <v>81</v>
      </c>
      <c r="C1035" s="4">
        <v>12</v>
      </c>
      <c r="D1035" s="8">
        <v>10.43</v>
      </c>
      <c r="E1035" s="4">
        <v>12</v>
      </c>
      <c r="F1035" s="8">
        <v>16.22</v>
      </c>
      <c r="G1035" s="4">
        <v>0</v>
      </c>
      <c r="H1035" s="8">
        <v>0</v>
      </c>
      <c r="I1035" s="4">
        <v>0</v>
      </c>
    </row>
    <row r="1036" spans="1:9" x14ac:dyDescent="0.2">
      <c r="A1036" s="2">
        <v>5</v>
      </c>
      <c r="B1036" s="1" t="s">
        <v>109</v>
      </c>
      <c r="C1036" s="4">
        <v>6</v>
      </c>
      <c r="D1036" s="8">
        <v>5.22</v>
      </c>
      <c r="E1036" s="4">
        <v>2</v>
      </c>
      <c r="F1036" s="8">
        <v>2.7</v>
      </c>
      <c r="G1036" s="4">
        <v>4</v>
      </c>
      <c r="H1036" s="8">
        <v>10.53</v>
      </c>
      <c r="I1036" s="4">
        <v>0</v>
      </c>
    </row>
    <row r="1037" spans="1:9" x14ac:dyDescent="0.2">
      <c r="A1037" s="2">
        <v>5</v>
      </c>
      <c r="B1037" s="1" t="s">
        <v>88</v>
      </c>
      <c r="C1037" s="4">
        <v>6</v>
      </c>
      <c r="D1037" s="8">
        <v>5.22</v>
      </c>
      <c r="E1037" s="4">
        <v>5</v>
      </c>
      <c r="F1037" s="8">
        <v>6.76</v>
      </c>
      <c r="G1037" s="4">
        <v>1</v>
      </c>
      <c r="H1037" s="8">
        <v>2.63</v>
      </c>
      <c r="I1037" s="4">
        <v>0</v>
      </c>
    </row>
    <row r="1038" spans="1:9" x14ac:dyDescent="0.2">
      <c r="A1038" s="2">
        <v>5</v>
      </c>
      <c r="B1038" s="1" t="s">
        <v>90</v>
      </c>
      <c r="C1038" s="4">
        <v>6</v>
      </c>
      <c r="D1038" s="8">
        <v>5.22</v>
      </c>
      <c r="E1038" s="4">
        <v>6</v>
      </c>
      <c r="F1038" s="8">
        <v>8.11</v>
      </c>
      <c r="G1038" s="4">
        <v>0</v>
      </c>
      <c r="H1038" s="8">
        <v>0</v>
      </c>
      <c r="I1038" s="4">
        <v>0</v>
      </c>
    </row>
    <row r="1039" spans="1:9" x14ac:dyDescent="0.2">
      <c r="A1039" s="2">
        <v>8</v>
      </c>
      <c r="B1039" s="1" t="s">
        <v>75</v>
      </c>
      <c r="C1039" s="4">
        <v>4</v>
      </c>
      <c r="D1039" s="8">
        <v>3.48</v>
      </c>
      <c r="E1039" s="4">
        <v>2</v>
      </c>
      <c r="F1039" s="8">
        <v>2.7</v>
      </c>
      <c r="G1039" s="4">
        <v>2</v>
      </c>
      <c r="H1039" s="8">
        <v>5.26</v>
      </c>
      <c r="I1039" s="4">
        <v>0</v>
      </c>
    </row>
    <row r="1040" spans="1:9" x14ac:dyDescent="0.2">
      <c r="A1040" s="2">
        <v>8</v>
      </c>
      <c r="B1040" s="1" t="s">
        <v>80</v>
      </c>
      <c r="C1040" s="4">
        <v>4</v>
      </c>
      <c r="D1040" s="8">
        <v>3.48</v>
      </c>
      <c r="E1040" s="4">
        <v>4</v>
      </c>
      <c r="F1040" s="8">
        <v>5.41</v>
      </c>
      <c r="G1040" s="4">
        <v>0</v>
      </c>
      <c r="H1040" s="8">
        <v>0</v>
      </c>
      <c r="I1040" s="4">
        <v>0</v>
      </c>
    </row>
    <row r="1041" spans="1:9" x14ac:dyDescent="0.2">
      <c r="A1041" s="2">
        <v>8</v>
      </c>
      <c r="B1041" s="1" t="s">
        <v>93</v>
      </c>
      <c r="C1041" s="4">
        <v>4</v>
      </c>
      <c r="D1041" s="8">
        <v>3.48</v>
      </c>
      <c r="E1041" s="4">
        <v>2</v>
      </c>
      <c r="F1041" s="8">
        <v>2.7</v>
      </c>
      <c r="G1041" s="4">
        <v>2</v>
      </c>
      <c r="H1041" s="8">
        <v>5.26</v>
      </c>
      <c r="I1041" s="4">
        <v>0</v>
      </c>
    </row>
    <row r="1042" spans="1:9" x14ac:dyDescent="0.2">
      <c r="A1042" s="2">
        <v>11</v>
      </c>
      <c r="B1042" s="1" t="s">
        <v>82</v>
      </c>
      <c r="C1042" s="4">
        <v>3</v>
      </c>
      <c r="D1042" s="8">
        <v>2.61</v>
      </c>
      <c r="E1042" s="4">
        <v>2</v>
      </c>
      <c r="F1042" s="8">
        <v>2.7</v>
      </c>
      <c r="G1042" s="4">
        <v>1</v>
      </c>
      <c r="H1042" s="8">
        <v>2.63</v>
      </c>
      <c r="I1042" s="4">
        <v>0</v>
      </c>
    </row>
    <row r="1043" spans="1:9" x14ac:dyDescent="0.2">
      <c r="A1043" s="2">
        <v>11</v>
      </c>
      <c r="B1043" s="1" t="s">
        <v>97</v>
      </c>
      <c r="C1043" s="4">
        <v>3</v>
      </c>
      <c r="D1043" s="8">
        <v>2.61</v>
      </c>
      <c r="E1043" s="4">
        <v>1</v>
      </c>
      <c r="F1043" s="8">
        <v>1.35</v>
      </c>
      <c r="G1043" s="4">
        <v>2</v>
      </c>
      <c r="H1043" s="8">
        <v>5.26</v>
      </c>
      <c r="I1043" s="4">
        <v>0</v>
      </c>
    </row>
    <row r="1044" spans="1:9" x14ac:dyDescent="0.2">
      <c r="A1044" s="2">
        <v>13</v>
      </c>
      <c r="B1044" s="1" t="s">
        <v>77</v>
      </c>
      <c r="C1044" s="4">
        <v>2</v>
      </c>
      <c r="D1044" s="8">
        <v>1.74</v>
      </c>
      <c r="E1044" s="4">
        <v>1</v>
      </c>
      <c r="F1044" s="8">
        <v>1.35</v>
      </c>
      <c r="G1044" s="4">
        <v>1</v>
      </c>
      <c r="H1044" s="8">
        <v>2.63</v>
      </c>
      <c r="I1044" s="4">
        <v>0</v>
      </c>
    </row>
    <row r="1045" spans="1:9" x14ac:dyDescent="0.2">
      <c r="A1045" s="2">
        <v>13</v>
      </c>
      <c r="B1045" s="1" t="s">
        <v>108</v>
      </c>
      <c r="C1045" s="4">
        <v>2</v>
      </c>
      <c r="D1045" s="8">
        <v>1.74</v>
      </c>
      <c r="E1045" s="4">
        <v>0</v>
      </c>
      <c r="F1045" s="8">
        <v>0</v>
      </c>
      <c r="G1045" s="4">
        <v>2</v>
      </c>
      <c r="H1045" s="8">
        <v>5.26</v>
      </c>
      <c r="I1045" s="4">
        <v>0</v>
      </c>
    </row>
    <row r="1046" spans="1:9" x14ac:dyDescent="0.2">
      <c r="A1046" s="2">
        <v>13</v>
      </c>
      <c r="B1046" s="1" t="s">
        <v>101</v>
      </c>
      <c r="C1046" s="4">
        <v>2</v>
      </c>
      <c r="D1046" s="8">
        <v>1.74</v>
      </c>
      <c r="E1046" s="4">
        <v>2</v>
      </c>
      <c r="F1046" s="8">
        <v>2.7</v>
      </c>
      <c r="G1046" s="4">
        <v>0</v>
      </c>
      <c r="H1046" s="8">
        <v>0</v>
      </c>
      <c r="I1046" s="4">
        <v>0</v>
      </c>
    </row>
    <row r="1047" spans="1:9" x14ac:dyDescent="0.2">
      <c r="A1047" s="2">
        <v>16</v>
      </c>
      <c r="B1047" s="1" t="s">
        <v>76</v>
      </c>
      <c r="C1047" s="4">
        <v>1</v>
      </c>
      <c r="D1047" s="8">
        <v>0.87</v>
      </c>
      <c r="E1047" s="4">
        <v>0</v>
      </c>
      <c r="F1047" s="8">
        <v>0</v>
      </c>
      <c r="G1047" s="4">
        <v>1</v>
      </c>
      <c r="H1047" s="8">
        <v>2.63</v>
      </c>
      <c r="I1047" s="4">
        <v>0</v>
      </c>
    </row>
    <row r="1048" spans="1:9" x14ac:dyDescent="0.2">
      <c r="A1048" s="2">
        <v>16</v>
      </c>
      <c r="B1048" s="1" t="s">
        <v>110</v>
      </c>
      <c r="C1048" s="4">
        <v>1</v>
      </c>
      <c r="D1048" s="8">
        <v>0.87</v>
      </c>
      <c r="E1048" s="4">
        <v>0</v>
      </c>
      <c r="F1048" s="8">
        <v>0</v>
      </c>
      <c r="G1048" s="4">
        <v>1</v>
      </c>
      <c r="H1048" s="8">
        <v>2.63</v>
      </c>
      <c r="I1048" s="4">
        <v>0</v>
      </c>
    </row>
    <row r="1049" spans="1:9" x14ac:dyDescent="0.2">
      <c r="A1049" s="2">
        <v>16</v>
      </c>
      <c r="B1049" s="1" t="s">
        <v>130</v>
      </c>
      <c r="C1049" s="4">
        <v>1</v>
      </c>
      <c r="D1049" s="8">
        <v>0.87</v>
      </c>
      <c r="E1049" s="4">
        <v>0</v>
      </c>
      <c r="F1049" s="8">
        <v>0</v>
      </c>
      <c r="G1049" s="4">
        <v>1</v>
      </c>
      <c r="H1049" s="8">
        <v>2.63</v>
      </c>
      <c r="I1049" s="4">
        <v>0</v>
      </c>
    </row>
    <row r="1050" spans="1:9" x14ac:dyDescent="0.2">
      <c r="A1050" s="2">
        <v>16</v>
      </c>
      <c r="B1050" s="1" t="s">
        <v>112</v>
      </c>
      <c r="C1050" s="4">
        <v>1</v>
      </c>
      <c r="D1050" s="8">
        <v>0.87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2">
      <c r="A1051" s="2">
        <v>16</v>
      </c>
      <c r="B1051" s="1" t="s">
        <v>113</v>
      </c>
      <c r="C1051" s="4">
        <v>1</v>
      </c>
      <c r="D1051" s="8">
        <v>0.87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2">
      <c r="A1052" s="2">
        <v>16</v>
      </c>
      <c r="B1052" s="1" t="s">
        <v>131</v>
      </c>
      <c r="C1052" s="4">
        <v>1</v>
      </c>
      <c r="D1052" s="8">
        <v>0.87</v>
      </c>
      <c r="E1052" s="4">
        <v>0</v>
      </c>
      <c r="F1052" s="8">
        <v>0</v>
      </c>
      <c r="G1052" s="4">
        <v>1</v>
      </c>
      <c r="H1052" s="8">
        <v>2.63</v>
      </c>
      <c r="I1052" s="4">
        <v>0</v>
      </c>
    </row>
    <row r="1053" spans="1:9" x14ac:dyDescent="0.2">
      <c r="A1053" s="2">
        <v>16</v>
      </c>
      <c r="B1053" s="1" t="s">
        <v>127</v>
      </c>
      <c r="C1053" s="4">
        <v>1</v>
      </c>
      <c r="D1053" s="8">
        <v>0.87</v>
      </c>
      <c r="E1053" s="4">
        <v>0</v>
      </c>
      <c r="F1053" s="8">
        <v>0</v>
      </c>
      <c r="G1053" s="4">
        <v>1</v>
      </c>
      <c r="H1053" s="8">
        <v>2.63</v>
      </c>
      <c r="I1053" s="4">
        <v>0</v>
      </c>
    </row>
    <row r="1054" spans="1:9" x14ac:dyDescent="0.2">
      <c r="A1054" s="2">
        <v>16</v>
      </c>
      <c r="B1054" s="1" t="s">
        <v>99</v>
      </c>
      <c r="C1054" s="4">
        <v>1</v>
      </c>
      <c r="D1054" s="8">
        <v>0.87</v>
      </c>
      <c r="E1054" s="4">
        <v>1</v>
      </c>
      <c r="F1054" s="8">
        <v>1.35</v>
      </c>
      <c r="G1054" s="4">
        <v>0</v>
      </c>
      <c r="H1054" s="8">
        <v>0</v>
      </c>
      <c r="I1054" s="4">
        <v>0</v>
      </c>
    </row>
    <row r="1055" spans="1:9" x14ac:dyDescent="0.2">
      <c r="A1055" s="2">
        <v>16</v>
      </c>
      <c r="B1055" s="1" t="s">
        <v>86</v>
      </c>
      <c r="C1055" s="4">
        <v>1</v>
      </c>
      <c r="D1055" s="8">
        <v>0.87</v>
      </c>
      <c r="E1055" s="4">
        <v>1</v>
      </c>
      <c r="F1055" s="8">
        <v>1.35</v>
      </c>
      <c r="G1055" s="4">
        <v>0</v>
      </c>
      <c r="H1055" s="8">
        <v>0</v>
      </c>
      <c r="I1055" s="4">
        <v>0</v>
      </c>
    </row>
    <row r="1056" spans="1:9" x14ac:dyDescent="0.2">
      <c r="A1056" s="2">
        <v>16</v>
      </c>
      <c r="B1056" s="1" t="s">
        <v>87</v>
      </c>
      <c r="C1056" s="4">
        <v>1</v>
      </c>
      <c r="D1056" s="8">
        <v>0.87</v>
      </c>
      <c r="E1056" s="4">
        <v>1</v>
      </c>
      <c r="F1056" s="8">
        <v>1.35</v>
      </c>
      <c r="G1056" s="4">
        <v>0</v>
      </c>
      <c r="H1056" s="8">
        <v>0</v>
      </c>
      <c r="I1056" s="4">
        <v>0</v>
      </c>
    </row>
    <row r="1057" spans="1:9" x14ac:dyDescent="0.2">
      <c r="A1057" s="2">
        <v>16</v>
      </c>
      <c r="B1057" s="1" t="s">
        <v>100</v>
      </c>
      <c r="C1057" s="4">
        <v>1</v>
      </c>
      <c r="D1057" s="8">
        <v>0.87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2">
      <c r="A1058" s="2">
        <v>16</v>
      </c>
      <c r="B1058" s="1" t="s">
        <v>91</v>
      </c>
      <c r="C1058" s="4">
        <v>1</v>
      </c>
      <c r="D1058" s="8">
        <v>0.87</v>
      </c>
      <c r="E1058" s="4">
        <v>1</v>
      </c>
      <c r="F1058" s="8">
        <v>1.35</v>
      </c>
      <c r="G1058" s="4">
        <v>0</v>
      </c>
      <c r="H1058" s="8">
        <v>0</v>
      </c>
      <c r="I1058" s="4">
        <v>0</v>
      </c>
    </row>
    <row r="1059" spans="1:9" x14ac:dyDescent="0.2">
      <c r="A1059" s="2">
        <v>16</v>
      </c>
      <c r="B1059" s="1" t="s">
        <v>92</v>
      </c>
      <c r="C1059" s="4">
        <v>1</v>
      </c>
      <c r="D1059" s="8">
        <v>0.87</v>
      </c>
      <c r="E1059" s="4">
        <v>0</v>
      </c>
      <c r="F1059" s="8">
        <v>0</v>
      </c>
      <c r="G1059" s="4">
        <v>1</v>
      </c>
      <c r="H1059" s="8">
        <v>2.63</v>
      </c>
      <c r="I1059" s="4">
        <v>0</v>
      </c>
    </row>
    <row r="1060" spans="1:9" x14ac:dyDescent="0.2">
      <c r="A1060" s="2">
        <v>16</v>
      </c>
      <c r="B1060" s="1" t="s">
        <v>118</v>
      </c>
      <c r="C1060" s="4">
        <v>1</v>
      </c>
      <c r="D1060" s="8">
        <v>0.87</v>
      </c>
      <c r="E1060" s="4">
        <v>0</v>
      </c>
      <c r="F1060" s="8">
        <v>0</v>
      </c>
      <c r="G1060" s="4">
        <v>1</v>
      </c>
      <c r="H1060" s="8">
        <v>2.63</v>
      </c>
      <c r="I1060" s="4">
        <v>0</v>
      </c>
    </row>
    <row r="1061" spans="1:9" x14ac:dyDescent="0.2">
      <c r="A1061" s="2">
        <v>16</v>
      </c>
      <c r="B1061" s="1" t="s">
        <v>126</v>
      </c>
      <c r="C1061" s="4">
        <v>1</v>
      </c>
      <c r="D1061" s="8">
        <v>0.87</v>
      </c>
      <c r="E1061" s="4">
        <v>0</v>
      </c>
      <c r="F1061" s="8">
        <v>0</v>
      </c>
      <c r="G1061" s="4">
        <v>1</v>
      </c>
      <c r="H1061" s="8">
        <v>2.63</v>
      </c>
      <c r="I1061" s="4">
        <v>0</v>
      </c>
    </row>
    <row r="1062" spans="1:9" x14ac:dyDescent="0.2">
      <c r="A1062" s="2">
        <v>16</v>
      </c>
      <c r="B1062" s="1" t="s">
        <v>120</v>
      </c>
      <c r="C1062" s="4">
        <v>1</v>
      </c>
      <c r="D1062" s="8">
        <v>0.87</v>
      </c>
      <c r="E1062" s="4">
        <v>0</v>
      </c>
      <c r="F1062" s="8">
        <v>0</v>
      </c>
      <c r="G1062" s="4">
        <v>1</v>
      </c>
      <c r="H1062" s="8">
        <v>2.63</v>
      </c>
      <c r="I1062" s="4">
        <v>0</v>
      </c>
    </row>
    <row r="1063" spans="1:9" x14ac:dyDescent="0.2">
      <c r="A1063" s="1"/>
      <c r="C1063" s="4"/>
      <c r="D1063" s="8"/>
      <c r="E1063" s="4"/>
      <c r="F1063" s="8"/>
      <c r="G1063" s="4"/>
      <c r="H1063" s="8"/>
      <c r="I1063" s="4"/>
    </row>
    <row r="1064" spans="1:9" x14ac:dyDescent="0.2">
      <c r="A1064" s="1" t="s">
        <v>44</v>
      </c>
      <c r="C1064" s="4"/>
      <c r="D1064" s="8"/>
      <c r="E1064" s="4"/>
      <c r="F1064" s="8"/>
      <c r="G1064" s="4"/>
      <c r="H1064" s="8"/>
      <c r="I1064" s="4"/>
    </row>
    <row r="1065" spans="1:9" x14ac:dyDescent="0.2">
      <c r="A1065" s="2">
        <v>1</v>
      </c>
      <c r="B1065" s="1" t="s">
        <v>106</v>
      </c>
      <c r="C1065" s="4">
        <v>11</v>
      </c>
      <c r="D1065" s="8">
        <v>17.739999999999998</v>
      </c>
      <c r="E1065" s="4">
        <v>10</v>
      </c>
      <c r="F1065" s="8">
        <v>21.28</v>
      </c>
      <c r="G1065" s="4">
        <v>1</v>
      </c>
      <c r="H1065" s="8">
        <v>7.69</v>
      </c>
      <c r="I1065" s="4">
        <v>0</v>
      </c>
    </row>
    <row r="1066" spans="1:9" x14ac:dyDescent="0.2">
      <c r="A1066" s="2">
        <v>2</v>
      </c>
      <c r="B1066" s="1" t="s">
        <v>81</v>
      </c>
      <c r="C1066" s="4">
        <v>8</v>
      </c>
      <c r="D1066" s="8">
        <v>12.9</v>
      </c>
      <c r="E1066" s="4">
        <v>7</v>
      </c>
      <c r="F1066" s="8">
        <v>14.89</v>
      </c>
      <c r="G1066" s="4">
        <v>1</v>
      </c>
      <c r="H1066" s="8">
        <v>7.69</v>
      </c>
      <c r="I1066" s="4">
        <v>0</v>
      </c>
    </row>
    <row r="1067" spans="1:9" x14ac:dyDescent="0.2">
      <c r="A1067" s="2">
        <v>3</v>
      </c>
      <c r="B1067" s="1" t="s">
        <v>89</v>
      </c>
      <c r="C1067" s="4">
        <v>6</v>
      </c>
      <c r="D1067" s="8">
        <v>9.68</v>
      </c>
      <c r="E1067" s="4">
        <v>6</v>
      </c>
      <c r="F1067" s="8">
        <v>12.77</v>
      </c>
      <c r="G1067" s="4">
        <v>0</v>
      </c>
      <c r="H1067" s="8">
        <v>0</v>
      </c>
      <c r="I1067" s="4">
        <v>0</v>
      </c>
    </row>
    <row r="1068" spans="1:9" x14ac:dyDescent="0.2">
      <c r="A1068" s="2">
        <v>4</v>
      </c>
      <c r="B1068" s="1" t="s">
        <v>88</v>
      </c>
      <c r="C1068" s="4">
        <v>5</v>
      </c>
      <c r="D1068" s="8">
        <v>8.06</v>
      </c>
      <c r="E1068" s="4">
        <v>5</v>
      </c>
      <c r="F1068" s="8">
        <v>10.64</v>
      </c>
      <c r="G1068" s="4">
        <v>0</v>
      </c>
      <c r="H1068" s="8">
        <v>0</v>
      </c>
      <c r="I1068" s="4">
        <v>0</v>
      </c>
    </row>
    <row r="1069" spans="1:9" x14ac:dyDescent="0.2">
      <c r="A1069" s="2">
        <v>5</v>
      </c>
      <c r="B1069" s="1" t="s">
        <v>83</v>
      </c>
      <c r="C1069" s="4">
        <v>4</v>
      </c>
      <c r="D1069" s="8">
        <v>6.45</v>
      </c>
      <c r="E1069" s="4">
        <v>2</v>
      </c>
      <c r="F1069" s="8">
        <v>4.26</v>
      </c>
      <c r="G1069" s="4">
        <v>2</v>
      </c>
      <c r="H1069" s="8">
        <v>15.38</v>
      </c>
      <c r="I1069" s="4">
        <v>0</v>
      </c>
    </row>
    <row r="1070" spans="1:9" x14ac:dyDescent="0.2">
      <c r="A1070" s="2">
        <v>6</v>
      </c>
      <c r="B1070" s="1" t="s">
        <v>75</v>
      </c>
      <c r="C1070" s="4">
        <v>3</v>
      </c>
      <c r="D1070" s="8">
        <v>4.84</v>
      </c>
      <c r="E1070" s="4">
        <v>2</v>
      </c>
      <c r="F1070" s="8">
        <v>4.26</v>
      </c>
      <c r="G1070" s="4">
        <v>1</v>
      </c>
      <c r="H1070" s="8">
        <v>7.69</v>
      </c>
      <c r="I1070" s="4">
        <v>0</v>
      </c>
    </row>
    <row r="1071" spans="1:9" x14ac:dyDescent="0.2">
      <c r="A1071" s="2">
        <v>6</v>
      </c>
      <c r="B1071" s="1" t="s">
        <v>91</v>
      </c>
      <c r="C1071" s="4">
        <v>3</v>
      </c>
      <c r="D1071" s="8">
        <v>4.84</v>
      </c>
      <c r="E1071" s="4">
        <v>3</v>
      </c>
      <c r="F1071" s="8">
        <v>6.38</v>
      </c>
      <c r="G1071" s="4">
        <v>0</v>
      </c>
      <c r="H1071" s="8">
        <v>0</v>
      </c>
      <c r="I1071" s="4">
        <v>0</v>
      </c>
    </row>
    <row r="1072" spans="1:9" x14ac:dyDescent="0.2">
      <c r="A1072" s="2">
        <v>8</v>
      </c>
      <c r="B1072" s="1" t="s">
        <v>74</v>
      </c>
      <c r="C1072" s="4">
        <v>2</v>
      </c>
      <c r="D1072" s="8">
        <v>3.23</v>
      </c>
      <c r="E1072" s="4">
        <v>1</v>
      </c>
      <c r="F1072" s="8">
        <v>2.13</v>
      </c>
      <c r="G1072" s="4">
        <v>1</v>
      </c>
      <c r="H1072" s="8">
        <v>7.69</v>
      </c>
      <c r="I1072" s="4">
        <v>0</v>
      </c>
    </row>
    <row r="1073" spans="1:9" x14ac:dyDescent="0.2">
      <c r="A1073" s="2">
        <v>8</v>
      </c>
      <c r="B1073" s="1" t="s">
        <v>108</v>
      </c>
      <c r="C1073" s="4">
        <v>2</v>
      </c>
      <c r="D1073" s="8">
        <v>3.23</v>
      </c>
      <c r="E1073" s="4">
        <v>1</v>
      </c>
      <c r="F1073" s="8">
        <v>2.13</v>
      </c>
      <c r="G1073" s="4">
        <v>1</v>
      </c>
      <c r="H1073" s="8">
        <v>7.69</v>
      </c>
      <c r="I1073" s="4">
        <v>0</v>
      </c>
    </row>
    <row r="1074" spans="1:9" x14ac:dyDescent="0.2">
      <c r="A1074" s="2">
        <v>8</v>
      </c>
      <c r="B1074" s="1" t="s">
        <v>109</v>
      </c>
      <c r="C1074" s="4">
        <v>2</v>
      </c>
      <c r="D1074" s="8">
        <v>3.23</v>
      </c>
      <c r="E1074" s="4">
        <v>1</v>
      </c>
      <c r="F1074" s="8">
        <v>2.13</v>
      </c>
      <c r="G1074" s="4">
        <v>1</v>
      </c>
      <c r="H1074" s="8">
        <v>7.69</v>
      </c>
      <c r="I1074" s="4">
        <v>0</v>
      </c>
    </row>
    <row r="1075" spans="1:9" x14ac:dyDescent="0.2">
      <c r="A1075" s="2">
        <v>8</v>
      </c>
      <c r="B1075" s="1" t="s">
        <v>100</v>
      </c>
      <c r="C1075" s="4">
        <v>2</v>
      </c>
      <c r="D1075" s="8">
        <v>3.23</v>
      </c>
      <c r="E1075" s="4">
        <v>1</v>
      </c>
      <c r="F1075" s="8">
        <v>2.13</v>
      </c>
      <c r="G1075" s="4">
        <v>1</v>
      </c>
      <c r="H1075" s="8">
        <v>7.69</v>
      </c>
      <c r="I1075" s="4">
        <v>0</v>
      </c>
    </row>
    <row r="1076" spans="1:9" x14ac:dyDescent="0.2">
      <c r="A1076" s="2">
        <v>8</v>
      </c>
      <c r="B1076" s="1" t="s">
        <v>90</v>
      </c>
      <c r="C1076" s="4">
        <v>2</v>
      </c>
      <c r="D1076" s="8">
        <v>3.23</v>
      </c>
      <c r="E1076" s="4">
        <v>2</v>
      </c>
      <c r="F1076" s="8">
        <v>4.26</v>
      </c>
      <c r="G1076" s="4">
        <v>0</v>
      </c>
      <c r="H1076" s="8">
        <v>0</v>
      </c>
      <c r="I1076" s="4">
        <v>0</v>
      </c>
    </row>
    <row r="1077" spans="1:9" x14ac:dyDescent="0.2">
      <c r="A1077" s="2">
        <v>13</v>
      </c>
      <c r="B1077" s="1" t="s">
        <v>76</v>
      </c>
      <c r="C1077" s="4">
        <v>1</v>
      </c>
      <c r="D1077" s="8">
        <v>1.61</v>
      </c>
      <c r="E1077" s="4">
        <v>1</v>
      </c>
      <c r="F1077" s="8">
        <v>2.13</v>
      </c>
      <c r="G1077" s="4">
        <v>0</v>
      </c>
      <c r="H1077" s="8">
        <v>0</v>
      </c>
      <c r="I1077" s="4">
        <v>0</v>
      </c>
    </row>
    <row r="1078" spans="1:9" x14ac:dyDescent="0.2">
      <c r="A1078" s="2">
        <v>13</v>
      </c>
      <c r="B1078" s="1" t="s">
        <v>77</v>
      </c>
      <c r="C1078" s="4">
        <v>1</v>
      </c>
      <c r="D1078" s="8">
        <v>1.61</v>
      </c>
      <c r="E1078" s="4">
        <v>0</v>
      </c>
      <c r="F1078" s="8">
        <v>0</v>
      </c>
      <c r="G1078" s="4">
        <v>1</v>
      </c>
      <c r="H1078" s="8">
        <v>7.69</v>
      </c>
      <c r="I1078" s="4">
        <v>0</v>
      </c>
    </row>
    <row r="1079" spans="1:9" x14ac:dyDescent="0.2">
      <c r="A1079" s="2">
        <v>13</v>
      </c>
      <c r="B1079" s="1" t="s">
        <v>125</v>
      </c>
      <c r="C1079" s="4">
        <v>1</v>
      </c>
      <c r="D1079" s="8">
        <v>1.61</v>
      </c>
      <c r="E1079" s="4">
        <v>1</v>
      </c>
      <c r="F1079" s="8">
        <v>2.13</v>
      </c>
      <c r="G1079" s="4">
        <v>0</v>
      </c>
      <c r="H1079" s="8">
        <v>0</v>
      </c>
      <c r="I1079" s="4">
        <v>0</v>
      </c>
    </row>
    <row r="1080" spans="1:9" x14ac:dyDescent="0.2">
      <c r="A1080" s="2">
        <v>13</v>
      </c>
      <c r="B1080" s="1" t="s">
        <v>113</v>
      </c>
      <c r="C1080" s="4">
        <v>1</v>
      </c>
      <c r="D1080" s="8">
        <v>1.61</v>
      </c>
      <c r="E1080" s="4">
        <v>0</v>
      </c>
      <c r="F1080" s="8">
        <v>0</v>
      </c>
      <c r="G1080" s="4">
        <v>0</v>
      </c>
      <c r="H1080" s="8">
        <v>0</v>
      </c>
      <c r="I1080" s="4">
        <v>0</v>
      </c>
    </row>
    <row r="1081" spans="1:9" x14ac:dyDescent="0.2">
      <c r="A1081" s="2">
        <v>13</v>
      </c>
      <c r="B1081" s="1" t="s">
        <v>116</v>
      </c>
      <c r="C1081" s="4">
        <v>1</v>
      </c>
      <c r="D1081" s="8">
        <v>1.61</v>
      </c>
      <c r="E1081" s="4">
        <v>1</v>
      </c>
      <c r="F1081" s="8">
        <v>2.13</v>
      </c>
      <c r="G1081" s="4">
        <v>0</v>
      </c>
      <c r="H1081" s="8">
        <v>0</v>
      </c>
      <c r="I1081" s="4">
        <v>0</v>
      </c>
    </row>
    <row r="1082" spans="1:9" x14ac:dyDescent="0.2">
      <c r="A1082" s="2">
        <v>13</v>
      </c>
      <c r="B1082" s="1" t="s">
        <v>78</v>
      </c>
      <c r="C1082" s="4">
        <v>1</v>
      </c>
      <c r="D1082" s="8">
        <v>1.61</v>
      </c>
      <c r="E1082" s="4">
        <v>1</v>
      </c>
      <c r="F1082" s="8">
        <v>2.13</v>
      </c>
      <c r="G1082" s="4">
        <v>0</v>
      </c>
      <c r="H1082" s="8">
        <v>0</v>
      </c>
      <c r="I1082" s="4">
        <v>0</v>
      </c>
    </row>
    <row r="1083" spans="1:9" x14ac:dyDescent="0.2">
      <c r="A1083" s="2">
        <v>13</v>
      </c>
      <c r="B1083" s="1" t="s">
        <v>80</v>
      </c>
      <c r="C1083" s="4">
        <v>1</v>
      </c>
      <c r="D1083" s="8">
        <v>1.61</v>
      </c>
      <c r="E1083" s="4">
        <v>1</v>
      </c>
      <c r="F1083" s="8">
        <v>2.13</v>
      </c>
      <c r="G1083" s="4">
        <v>0</v>
      </c>
      <c r="H1083" s="8">
        <v>0</v>
      </c>
      <c r="I1083" s="4">
        <v>0</v>
      </c>
    </row>
    <row r="1084" spans="1:9" x14ac:dyDescent="0.2">
      <c r="A1084" s="2">
        <v>13</v>
      </c>
      <c r="B1084" s="1" t="s">
        <v>82</v>
      </c>
      <c r="C1084" s="4">
        <v>1</v>
      </c>
      <c r="D1084" s="8">
        <v>1.61</v>
      </c>
      <c r="E1084" s="4">
        <v>1</v>
      </c>
      <c r="F1084" s="8">
        <v>2.13</v>
      </c>
      <c r="G1084" s="4">
        <v>0</v>
      </c>
      <c r="H1084" s="8">
        <v>0</v>
      </c>
      <c r="I1084" s="4">
        <v>0</v>
      </c>
    </row>
    <row r="1085" spans="1:9" x14ac:dyDescent="0.2">
      <c r="A1085" s="2">
        <v>13</v>
      </c>
      <c r="B1085" s="1" t="s">
        <v>117</v>
      </c>
      <c r="C1085" s="4">
        <v>1</v>
      </c>
      <c r="D1085" s="8">
        <v>1.61</v>
      </c>
      <c r="E1085" s="4">
        <v>0</v>
      </c>
      <c r="F1085" s="8">
        <v>0</v>
      </c>
      <c r="G1085" s="4">
        <v>1</v>
      </c>
      <c r="H1085" s="8">
        <v>7.69</v>
      </c>
      <c r="I1085" s="4">
        <v>0</v>
      </c>
    </row>
    <row r="1086" spans="1:9" x14ac:dyDescent="0.2">
      <c r="A1086" s="2">
        <v>13</v>
      </c>
      <c r="B1086" s="1" t="s">
        <v>132</v>
      </c>
      <c r="C1086" s="4">
        <v>1</v>
      </c>
      <c r="D1086" s="8">
        <v>1.61</v>
      </c>
      <c r="E1086" s="4">
        <v>0</v>
      </c>
      <c r="F1086" s="8">
        <v>0</v>
      </c>
      <c r="G1086" s="4">
        <v>1</v>
      </c>
      <c r="H1086" s="8">
        <v>7.69</v>
      </c>
      <c r="I1086" s="4">
        <v>0</v>
      </c>
    </row>
    <row r="1087" spans="1:9" x14ac:dyDescent="0.2">
      <c r="A1087" s="2">
        <v>13</v>
      </c>
      <c r="B1087" s="1" t="s">
        <v>97</v>
      </c>
      <c r="C1087" s="4">
        <v>1</v>
      </c>
      <c r="D1087" s="8">
        <v>1.61</v>
      </c>
      <c r="E1087" s="4">
        <v>0</v>
      </c>
      <c r="F1087" s="8">
        <v>0</v>
      </c>
      <c r="G1087" s="4">
        <v>0</v>
      </c>
      <c r="H1087" s="8">
        <v>0</v>
      </c>
      <c r="I1087" s="4">
        <v>0</v>
      </c>
    </row>
    <row r="1088" spans="1:9" x14ac:dyDescent="0.2">
      <c r="A1088" s="2">
        <v>13</v>
      </c>
      <c r="B1088" s="1" t="s">
        <v>118</v>
      </c>
      <c r="C1088" s="4">
        <v>1</v>
      </c>
      <c r="D1088" s="8">
        <v>1.61</v>
      </c>
      <c r="E1088" s="4">
        <v>0</v>
      </c>
      <c r="F1088" s="8">
        <v>0</v>
      </c>
      <c r="G1088" s="4">
        <v>1</v>
      </c>
      <c r="H1088" s="8">
        <v>7.69</v>
      </c>
      <c r="I1088" s="4">
        <v>0</v>
      </c>
    </row>
    <row r="1089" spans="1:9" x14ac:dyDescent="0.2">
      <c r="A1089" s="1"/>
      <c r="C1089" s="4"/>
      <c r="D1089" s="8"/>
      <c r="E1089" s="4"/>
      <c r="F1089" s="8"/>
      <c r="G1089" s="4"/>
      <c r="H1089" s="8"/>
      <c r="I1089" s="4"/>
    </row>
    <row r="1090" spans="1:9" x14ac:dyDescent="0.2">
      <c r="A1090" s="1" t="s">
        <v>45</v>
      </c>
      <c r="C1090" s="4"/>
      <c r="D1090" s="8"/>
      <c r="E1090" s="4"/>
      <c r="F1090" s="8"/>
      <c r="G1090" s="4"/>
      <c r="H1090" s="8"/>
      <c r="I1090" s="4"/>
    </row>
    <row r="1091" spans="1:9" x14ac:dyDescent="0.2">
      <c r="A1091" s="2">
        <v>1</v>
      </c>
      <c r="B1091" s="1" t="s">
        <v>74</v>
      </c>
      <c r="C1091" s="4">
        <v>15</v>
      </c>
      <c r="D1091" s="8">
        <v>14.15</v>
      </c>
      <c r="E1091" s="4">
        <v>11</v>
      </c>
      <c r="F1091" s="8">
        <v>15.71</v>
      </c>
      <c r="G1091" s="4">
        <v>4</v>
      </c>
      <c r="H1091" s="8">
        <v>12.12</v>
      </c>
      <c r="I1091" s="4">
        <v>0</v>
      </c>
    </row>
    <row r="1092" spans="1:9" x14ac:dyDescent="0.2">
      <c r="A1092" s="2">
        <v>2</v>
      </c>
      <c r="B1092" s="1" t="s">
        <v>81</v>
      </c>
      <c r="C1092" s="4">
        <v>10</v>
      </c>
      <c r="D1092" s="8">
        <v>9.43</v>
      </c>
      <c r="E1092" s="4">
        <v>10</v>
      </c>
      <c r="F1092" s="8">
        <v>14.29</v>
      </c>
      <c r="G1092" s="4">
        <v>0</v>
      </c>
      <c r="H1092" s="8">
        <v>0</v>
      </c>
      <c r="I1092" s="4">
        <v>0</v>
      </c>
    </row>
    <row r="1093" spans="1:9" x14ac:dyDescent="0.2">
      <c r="A1093" s="2">
        <v>2</v>
      </c>
      <c r="B1093" s="1" t="s">
        <v>89</v>
      </c>
      <c r="C1093" s="4">
        <v>10</v>
      </c>
      <c r="D1093" s="8">
        <v>9.43</v>
      </c>
      <c r="E1093" s="4">
        <v>10</v>
      </c>
      <c r="F1093" s="8">
        <v>14.29</v>
      </c>
      <c r="G1093" s="4">
        <v>0</v>
      </c>
      <c r="H1093" s="8">
        <v>0</v>
      </c>
      <c r="I1093" s="4">
        <v>0</v>
      </c>
    </row>
    <row r="1094" spans="1:9" x14ac:dyDescent="0.2">
      <c r="A1094" s="2">
        <v>4</v>
      </c>
      <c r="B1094" s="1" t="s">
        <v>83</v>
      </c>
      <c r="C1094" s="4">
        <v>8</v>
      </c>
      <c r="D1094" s="8">
        <v>7.55</v>
      </c>
      <c r="E1094" s="4">
        <v>5</v>
      </c>
      <c r="F1094" s="8">
        <v>7.14</v>
      </c>
      <c r="G1094" s="4">
        <v>3</v>
      </c>
      <c r="H1094" s="8">
        <v>9.09</v>
      </c>
      <c r="I1094" s="4">
        <v>0</v>
      </c>
    </row>
    <row r="1095" spans="1:9" x14ac:dyDescent="0.2">
      <c r="A1095" s="2">
        <v>5</v>
      </c>
      <c r="B1095" s="1" t="s">
        <v>108</v>
      </c>
      <c r="C1095" s="4">
        <v>7</v>
      </c>
      <c r="D1095" s="8">
        <v>6.6</v>
      </c>
      <c r="E1095" s="4">
        <v>2</v>
      </c>
      <c r="F1095" s="8">
        <v>2.86</v>
      </c>
      <c r="G1095" s="4">
        <v>5</v>
      </c>
      <c r="H1095" s="8">
        <v>15.15</v>
      </c>
      <c r="I1095" s="4">
        <v>0</v>
      </c>
    </row>
    <row r="1096" spans="1:9" x14ac:dyDescent="0.2">
      <c r="A1096" s="2">
        <v>6</v>
      </c>
      <c r="B1096" s="1" t="s">
        <v>75</v>
      </c>
      <c r="C1096" s="4">
        <v>5</v>
      </c>
      <c r="D1096" s="8">
        <v>4.72</v>
      </c>
      <c r="E1096" s="4">
        <v>4</v>
      </c>
      <c r="F1096" s="8">
        <v>5.71</v>
      </c>
      <c r="G1096" s="4">
        <v>1</v>
      </c>
      <c r="H1096" s="8">
        <v>3.03</v>
      </c>
      <c r="I1096" s="4">
        <v>0</v>
      </c>
    </row>
    <row r="1097" spans="1:9" x14ac:dyDescent="0.2">
      <c r="A1097" s="2">
        <v>6</v>
      </c>
      <c r="B1097" s="1" t="s">
        <v>82</v>
      </c>
      <c r="C1097" s="4">
        <v>5</v>
      </c>
      <c r="D1097" s="8">
        <v>4.72</v>
      </c>
      <c r="E1097" s="4">
        <v>3</v>
      </c>
      <c r="F1097" s="8">
        <v>4.29</v>
      </c>
      <c r="G1097" s="4">
        <v>2</v>
      </c>
      <c r="H1097" s="8">
        <v>6.06</v>
      </c>
      <c r="I1097" s="4">
        <v>0</v>
      </c>
    </row>
    <row r="1098" spans="1:9" x14ac:dyDescent="0.2">
      <c r="A1098" s="2">
        <v>8</v>
      </c>
      <c r="B1098" s="1" t="s">
        <v>77</v>
      </c>
      <c r="C1098" s="4">
        <v>4</v>
      </c>
      <c r="D1098" s="8">
        <v>3.77</v>
      </c>
      <c r="E1098" s="4">
        <v>1</v>
      </c>
      <c r="F1098" s="8">
        <v>1.43</v>
      </c>
      <c r="G1098" s="4">
        <v>3</v>
      </c>
      <c r="H1098" s="8">
        <v>9.09</v>
      </c>
      <c r="I1098" s="4">
        <v>0</v>
      </c>
    </row>
    <row r="1099" spans="1:9" x14ac:dyDescent="0.2">
      <c r="A1099" s="2">
        <v>8</v>
      </c>
      <c r="B1099" s="1" t="s">
        <v>109</v>
      </c>
      <c r="C1099" s="4">
        <v>4</v>
      </c>
      <c r="D1099" s="8">
        <v>3.77</v>
      </c>
      <c r="E1099" s="4">
        <v>0</v>
      </c>
      <c r="F1099" s="8">
        <v>0</v>
      </c>
      <c r="G1099" s="4">
        <v>4</v>
      </c>
      <c r="H1099" s="8">
        <v>12.12</v>
      </c>
      <c r="I1099" s="4">
        <v>0</v>
      </c>
    </row>
    <row r="1100" spans="1:9" x14ac:dyDescent="0.2">
      <c r="A1100" s="2">
        <v>8</v>
      </c>
      <c r="B1100" s="1" t="s">
        <v>88</v>
      </c>
      <c r="C1100" s="4">
        <v>4</v>
      </c>
      <c r="D1100" s="8">
        <v>3.77</v>
      </c>
      <c r="E1100" s="4">
        <v>4</v>
      </c>
      <c r="F1100" s="8">
        <v>5.71</v>
      </c>
      <c r="G1100" s="4">
        <v>0</v>
      </c>
      <c r="H1100" s="8">
        <v>0</v>
      </c>
      <c r="I1100" s="4">
        <v>0</v>
      </c>
    </row>
    <row r="1101" spans="1:9" x14ac:dyDescent="0.2">
      <c r="A1101" s="2">
        <v>8</v>
      </c>
      <c r="B1101" s="1" t="s">
        <v>90</v>
      </c>
      <c r="C1101" s="4">
        <v>4</v>
      </c>
      <c r="D1101" s="8">
        <v>3.77</v>
      </c>
      <c r="E1101" s="4">
        <v>4</v>
      </c>
      <c r="F1101" s="8">
        <v>5.71</v>
      </c>
      <c r="G1101" s="4">
        <v>0</v>
      </c>
      <c r="H1101" s="8">
        <v>0</v>
      </c>
      <c r="I1101" s="4">
        <v>0</v>
      </c>
    </row>
    <row r="1102" spans="1:9" x14ac:dyDescent="0.2">
      <c r="A1102" s="2">
        <v>12</v>
      </c>
      <c r="B1102" s="1" t="s">
        <v>99</v>
      </c>
      <c r="C1102" s="4">
        <v>3</v>
      </c>
      <c r="D1102" s="8">
        <v>2.83</v>
      </c>
      <c r="E1102" s="4">
        <v>1</v>
      </c>
      <c r="F1102" s="8">
        <v>1.43</v>
      </c>
      <c r="G1102" s="4">
        <v>2</v>
      </c>
      <c r="H1102" s="8">
        <v>6.06</v>
      </c>
      <c r="I1102" s="4">
        <v>0</v>
      </c>
    </row>
    <row r="1103" spans="1:9" x14ac:dyDescent="0.2">
      <c r="A1103" s="2">
        <v>12</v>
      </c>
      <c r="B1103" s="1" t="s">
        <v>86</v>
      </c>
      <c r="C1103" s="4">
        <v>3</v>
      </c>
      <c r="D1103" s="8">
        <v>2.83</v>
      </c>
      <c r="E1103" s="4">
        <v>2</v>
      </c>
      <c r="F1103" s="8">
        <v>2.86</v>
      </c>
      <c r="G1103" s="4">
        <v>0</v>
      </c>
      <c r="H1103" s="8">
        <v>0</v>
      </c>
      <c r="I1103" s="4">
        <v>1</v>
      </c>
    </row>
    <row r="1104" spans="1:9" x14ac:dyDescent="0.2">
      <c r="A1104" s="2">
        <v>12</v>
      </c>
      <c r="B1104" s="1" t="s">
        <v>93</v>
      </c>
      <c r="C1104" s="4">
        <v>3</v>
      </c>
      <c r="D1104" s="8">
        <v>2.83</v>
      </c>
      <c r="E1104" s="4">
        <v>2</v>
      </c>
      <c r="F1104" s="8">
        <v>2.86</v>
      </c>
      <c r="G1104" s="4">
        <v>1</v>
      </c>
      <c r="H1104" s="8">
        <v>3.03</v>
      </c>
      <c r="I1104" s="4">
        <v>0</v>
      </c>
    </row>
    <row r="1105" spans="1:9" x14ac:dyDescent="0.2">
      <c r="A1105" s="2">
        <v>15</v>
      </c>
      <c r="B1105" s="1" t="s">
        <v>76</v>
      </c>
      <c r="C1105" s="4">
        <v>2</v>
      </c>
      <c r="D1105" s="8">
        <v>1.89</v>
      </c>
      <c r="E1105" s="4">
        <v>2</v>
      </c>
      <c r="F1105" s="8">
        <v>2.86</v>
      </c>
      <c r="G1105" s="4">
        <v>0</v>
      </c>
      <c r="H1105" s="8">
        <v>0</v>
      </c>
      <c r="I1105" s="4">
        <v>0</v>
      </c>
    </row>
    <row r="1106" spans="1:9" x14ac:dyDescent="0.2">
      <c r="A1106" s="2">
        <v>15</v>
      </c>
      <c r="B1106" s="1" t="s">
        <v>128</v>
      </c>
      <c r="C1106" s="4">
        <v>2</v>
      </c>
      <c r="D1106" s="8">
        <v>1.89</v>
      </c>
      <c r="E1106" s="4">
        <v>0</v>
      </c>
      <c r="F1106" s="8">
        <v>0</v>
      </c>
      <c r="G1106" s="4">
        <v>2</v>
      </c>
      <c r="H1106" s="8">
        <v>6.06</v>
      </c>
      <c r="I1106" s="4">
        <v>0</v>
      </c>
    </row>
    <row r="1107" spans="1:9" x14ac:dyDescent="0.2">
      <c r="A1107" s="2">
        <v>15</v>
      </c>
      <c r="B1107" s="1" t="s">
        <v>102</v>
      </c>
      <c r="C1107" s="4">
        <v>2</v>
      </c>
      <c r="D1107" s="8">
        <v>1.89</v>
      </c>
      <c r="E1107" s="4">
        <v>1</v>
      </c>
      <c r="F1107" s="8">
        <v>1.43</v>
      </c>
      <c r="G1107" s="4">
        <v>1</v>
      </c>
      <c r="H1107" s="8">
        <v>3.03</v>
      </c>
      <c r="I1107" s="4">
        <v>0</v>
      </c>
    </row>
    <row r="1108" spans="1:9" x14ac:dyDescent="0.2">
      <c r="A1108" s="2">
        <v>15</v>
      </c>
      <c r="B1108" s="1" t="s">
        <v>85</v>
      </c>
      <c r="C1108" s="4">
        <v>2</v>
      </c>
      <c r="D1108" s="8">
        <v>1.89</v>
      </c>
      <c r="E1108" s="4">
        <v>1</v>
      </c>
      <c r="F1108" s="8">
        <v>1.43</v>
      </c>
      <c r="G1108" s="4">
        <v>1</v>
      </c>
      <c r="H1108" s="8">
        <v>3.03</v>
      </c>
      <c r="I1108" s="4">
        <v>0</v>
      </c>
    </row>
    <row r="1109" spans="1:9" x14ac:dyDescent="0.2">
      <c r="A1109" s="2">
        <v>15</v>
      </c>
      <c r="B1109" s="1" t="s">
        <v>117</v>
      </c>
      <c r="C1109" s="4">
        <v>2</v>
      </c>
      <c r="D1109" s="8">
        <v>1.89</v>
      </c>
      <c r="E1109" s="4">
        <v>1</v>
      </c>
      <c r="F1109" s="8">
        <v>1.43</v>
      </c>
      <c r="G1109" s="4">
        <v>1</v>
      </c>
      <c r="H1109" s="8">
        <v>3.03</v>
      </c>
      <c r="I1109" s="4">
        <v>0</v>
      </c>
    </row>
    <row r="1110" spans="1:9" x14ac:dyDescent="0.2">
      <c r="A1110" s="2">
        <v>15</v>
      </c>
      <c r="B1110" s="1" t="s">
        <v>91</v>
      </c>
      <c r="C1110" s="4">
        <v>2</v>
      </c>
      <c r="D1110" s="8">
        <v>1.89</v>
      </c>
      <c r="E1110" s="4">
        <v>2</v>
      </c>
      <c r="F1110" s="8">
        <v>2.86</v>
      </c>
      <c r="G1110" s="4">
        <v>0</v>
      </c>
      <c r="H1110" s="8">
        <v>0</v>
      </c>
      <c r="I1110" s="4">
        <v>0</v>
      </c>
    </row>
    <row r="1111" spans="1:9" x14ac:dyDescent="0.2">
      <c r="A1111" s="1"/>
      <c r="C1111" s="4"/>
      <c r="D1111" s="8"/>
      <c r="E1111" s="4"/>
      <c r="F1111" s="8"/>
      <c r="G1111" s="4"/>
      <c r="H1111" s="8"/>
      <c r="I1111" s="4"/>
    </row>
    <row r="1112" spans="1:9" x14ac:dyDescent="0.2">
      <c r="A1112" s="1" t="s">
        <v>46</v>
      </c>
      <c r="C1112" s="4"/>
      <c r="D1112" s="8"/>
      <c r="E1112" s="4"/>
      <c r="F1112" s="8"/>
      <c r="G1112" s="4"/>
      <c r="H1112" s="8"/>
      <c r="I1112" s="4"/>
    </row>
    <row r="1113" spans="1:9" x14ac:dyDescent="0.2">
      <c r="A1113" s="2">
        <v>1</v>
      </c>
      <c r="B1113" s="1" t="s">
        <v>81</v>
      </c>
      <c r="C1113" s="4">
        <v>5</v>
      </c>
      <c r="D1113" s="8">
        <v>16.13</v>
      </c>
      <c r="E1113" s="4">
        <v>3</v>
      </c>
      <c r="F1113" s="8">
        <v>15.79</v>
      </c>
      <c r="G1113" s="4">
        <v>2</v>
      </c>
      <c r="H1113" s="8">
        <v>22.22</v>
      </c>
      <c r="I1113" s="4">
        <v>0</v>
      </c>
    </row>
    <row r="1114" spans="1:9" x14ac:dyDescent="0.2">
      <c r="A1114" s="2">
        <v>2</v>
      </c>
      <c r="B1114" s="1" t="s">
        <v>74</v>
      </c>
      <c r="C1114" s="4">
        <v>4</v>
      </c>
      <c r="D1114" s="8">
        <v>12.9</v>
      </c>
      <c r="E1114" s="4">
        <v>3</v>
      </c>
      <c r="F1114" s="8">
        <v>15.79</v>
      </c>
      <c r="G1114" s="4">
        <v>1</v>
      </c>
      <c r="H1114" s="8">
        <v>11.11</v>
      </c>
      <c r="I1114" s="4">
        <v>0</v>
      </c>
    </row>
    <row r="1115" spans="1:9" x14ac:dyDescent="0.2">
      <c r="A1115" s="2">
        <v>3</v>
      </c>
      <c r="B1115" s="1" t="s">
        <v>87</v>
      </c>
      <c r="C1115" s="4">
        <v>3</v>
      </c>
      <c r="D1115" s="8">
        <v>9.68</v>
      </c>
      <c r="E1115" s="4">
        <v>0</v>
      </c>
      <c r="F1115" s="8">
        <v>0</v>
      </c>
      <c r="G1115" s="4">
        <v>1</v>
      </c>
      <c r="H1115" s="8">
        <v>11.11</v>
      </c>
      <c r="I1115" s="4">
        <v>0</v>
      </c>
    </row>
    <row r="1116" spans="1:9" x14ac:dyDescent="0.2">
      <c r="A1116" s="2">
        <v>3</v>
      </c>
      <c r="B1116" s="1" t="s">
        <v>106</v>
      </c>
      <c r="C1116" s="4">
        <v>3</v>
      </c>
      <c r="D1116" s="8">
        <v>9.68</v>
      </c>
      <c r="E1116" s="4">
        <v>3</v>
      </c>
      <c r="F1116" s="8">
        <v>15.79</v>
      </c>
      <c r="G1116" s="4">
        <v>0</v>
      </c>
      <c r="H1116" s="8">
        <v>0</v>
      </c>
      <c r="I1116" s="4">
        <v>0</v>
      </c>
    </row>
    <row r="1117" spans="1:9" x14ac:dyDescent="0.2">
      <c r="A1117" s="2">
        <v>3</v>
      </c>
      <c r="B1117" s="1" t="s">
        <v>88</v>
      </c>
      <c r="C1117" s="4">
        <v>3</v>
      </c>
      <c r="D1117" s="8">
        <v>9.68</v>
      </c>
      <c r="E1117" s="4">
        <v>2</v>
      </c>
      <c r="F1117" s="8">
        <v>10.53</v>
      </c>
      <c r="G1117" s="4">
        <v>1</v>
      </c>
      <c r="H1117" s="8">
        <v>11.11</v>
      </c>
      <c r="I1117" s="4">
        <v>0</v>
      </c>
    </row>
    <row r="1118" spans="1:9" x14ac:dyDescent="0.2">
      <c r="A1118" s="2">
        <v>3</v>
      </c>
      <c r="B1118" s="1" t="s">
        <v>89</v>
      </c>
      <c r="C1118" s="4">
        <v>3</v>
      </c>
      <c r="D1118" s="8">
        <v>9.68</v>
      </c>
      <c r="E1118" s="4">
        <v>3</v>
      </c>
      <c r="F1118" s="8">
        <v>15.79</v>
      </c>
      <c r="G1118" s="4">
        <v>0</v>
      </c>
      <c r="H1118" s="8">
        <v>0</v>
      </c>
      <c r="I1118" s="4">
        <v>0</v>
      </c>
    </row>
    <row r="1119" spans="1:9" x14ac:dyDescent="0.2">
      <c r="A1119" s="2">
        <v>7</v>
      </c>
      <c r="B1119" s="1" t="s">
        <v>85</v>
      </c>
      <c r="C1119" s="4">
        <v>2</v>
      </c>
      <c r="D1119" s="8">
        <v>6.45</v>
      </c>
      <c r="E1119" s="4">
        <v>0</v>
      </c>
      <c r="F1119" s="8">
        <v>0</v>
      </c>
      <c r="G1119" s="4">
        <v>2</v>
      </c>
      <c r="H1119" s="8">
        <v>22.22</v>
      </c>
      <c r="I1119" s="4">
        <v>0</v>
      </c>
    </row>
    <row r="1120" spans="1:9" x14ac:dyDescent="0.2">
      <c r="A1120" s="2">
        <v>8</v>
      </c>
      <c r="B1120" s="1" t="s">
        <v>75</v>
      </c>
      <c r="C1120" s="4">
        <v>1</v>
      </c>
      <c r="D1120" s="8">
        <v>3.23</v>
      </c>
      <c r="E1120" s="4">
        <v>1</v>
      </c>
      <c r="F1120" s="8">
        <v>5.26</v>
      </c>
      <c r="G1120" s="4">
        <v>0</v>
      </c>
      <c r="H1120" s="8">
        <v>0</v>
      </c>
      <c r="I1120" s="4">
        <v>0</v>
      </c>
    </row>
    <row r="1121" spans="1:9" x14ac:dyDescent="0.2">
      <c r="A1121" s="2">
        <v>8</v>
      </c>
      <c r="B1121" s="1" t="s">
        <v>77</v>
      </c>
      <c r="C1121" s="4">
        <v>1</v>
      </c>
      <c r="D1121" s="8">
        <v>3.23</v>
      </c>
      <c r="E1121" s="4">
        <v>1</v>
      </c>
      <c r="F1121" s="8">
        <v>5.26</v>
      </c>
      <c r="G1121" s="4">
        <v>0</v>
      </c>
      <c r="H1121" s="8">
        <v>0</v>
      </c>
      <c r="I1121" s="4">
        <v>0</v>
      </c>
    </row>
    <row r="1122" spans="1:9" x14ac:dyDescent="0.2">
      <c r="A1122" s="2">
        <v>8</v>
      </c>
      <c r="B1122" s="1" t="s">
        <v>108</v>
      </c>
      <c r="C1122" s="4">
        <v>1</v>
      </c>
      <c r="D1122" s="8">
        <v>3.23</v>
      </c>
      <c r="E1122" s="4">
        <v>1</v>
      </c>
      <c r="F1122" s="8">
        <v>5.26</v>
      </c>
      <c r="G1122" s="4">
        <v>0</v>
      </c>
      <c r="H1122" s="8">
        <v>0</v>
      </c>
      <c r="I1122" s="4">
        <v>0</v>
      </c>
    </row>
    <row r="1123" spans="1:9" x14ac:dyDescent="0.2">
      <c r="A1123" s="2">
        <v>8</v>
      </c>
      <c r="B1123" s="1" t="s">
        <v>78</v>
      </c>
      <c r="C1123" s="4">
        <v>1</v>
      </c>
      <c r="D1123" s="8">
        <v>3.23</v>
      </c>
      <c r="E1123" s="4">
        <v>1</v>
      </c>
      <c r="F1123" s="8">
        <v>5.26</v>
      </c>
      <c r="G1123" s="4">
        <v>0</v>
      </c>
      <c r="H1123" s="8">
        <v>0</v>
      </c>
      <c r="I1123" s="4">
        <v>0</v>
      </c>
    </row>
    <row r="1124" spans="1:9" x14ac:dyDescent="0.2">
      <c r="A1124" s="2">
        <v>8</v>
      </c>
      <c r="B1124" s="1" t="s">
        <v>82</v>
      </c>
      <c r="C1124" s="4">
        <v>1</v>
      </c>
      <c r="D1124" s="8">
        <v>3.23</v>
      </c>
      <c r="E1124" s="4">
        <v>1</v>
      </c>
      <c r="F1124" s="8">
        <v>5.26</v>
      </c>
      <c r="G1124" s="4">
        <v>0</v>
      </c>
      <c r="H1124" s="8">
        <v>0</v>
      </c>
      <c r="I1124" s="4">
        <v>0</v>
      </c>
    </row>
    <row r="1125" spans="1:9" x14ac:dyDescent="0.2">
      <c r="A1125" s="2">
        <v>8</v>
      </c>
      <c r="B1125" s="1" t="s">
        <v>83</v>
      </c>
      <c r="C1125" s="4">
        <v>1</v>
      </c>
      <c r="D1125" s="8">
        <v>3.23</v>
      </c>
      <c r="E1125" s="4">
        <v>0</v>
      </c>
      <c r="F1125" s="8">
        <v>0</v>
      </c>
      <c r="G1125" s="4">
        <v>1</v>
      </c>
      <c r="H1125" s="8">
        <v>11.11</v>
      </c>
      <c r="I1125" s="4">
        <v>0</v>
      </c>
    </row>
    <row r="1126" spans="1:9" x14ac:dyDescent="0.2">
      <c r="A1126" s="2">
        <v>8</v>
      </c>
      <c r="B1126" s="1" t="s">
        <v>86</v>
      </c>
      <c r="C1126" s="4">
        <v>1</v>
      </c>
      <c r="D1126" s="8">
        <v>3.23</v>
      </c>
      <c r="E1126" s="4">
        <v>0</v>
      </c>
      <c r="F1126" s="8">
        <v>0</v>
      </c>
      <c r="G1126" s="4">
        <v>1</v>
      </c>
      <c r="H1126" s="8">
        <v>11.11</v>
      </c>
      <c r="I1126" s="4">
        <v>0</v>
      </c>
    </row>
    <row r="1127" spans="1:9" x14ac:dyDescent="0.2">
      <c r="A1127" s="2">
        <v>8</v>
      </c>
      <c r="B1127" s="1" t="s">
        <v>120</v>
      </c>
      <c r="C1127" s="4">
        <v>1</v>
      </c>
      <c r="D1127" s="8">
        <v>3.23</v>
      </c>
      <c r="E1127" s="4">
        <v>0</v>
      </c>
      <c r="F1127" s="8">
        <v>0</v>
      </c>
      <c r="G1127" s="4">
        <v>0</v>
      </c>
      <c r="H1127" s="8">
        <v>0</v>
      </c>
      <c r="I1127" s="4">
        <v>1</v>
      </c>
    </row>
    <row r="1128" spans="1:9" x14ac:dyDescent="0.2">
      <c r="A1128" s="1"/>
      <c r="C1128" s="4"/>
      <c r="D1128" s="8"/>
      <c r="E1128" s="4"/>
      <c r="F1128" s="8"/>
      <c r="G1128" s="4"/>
      <c r="H1128" s="8"/>
      <c r="I1128" s="4"/>
    </row>
    <row r="1129" spans="1:9" x14ac:dyDescent="0.2">
      <c r="A1129" s="1" t="s">
        <v>47</v>
      </c>
      <c r="C1129" s="4"/>
      <c r="D1129" s="8"/>
      <c r="E1129" s="4"/>
      <c r="F1129" s="8"/>
      <c r="G1129" s="4"/>
      <c r="H1129" s="8"/>
      <c r="I1129" s="4"/>
    </row>
    <row r="1130" spans="1:9" x14ac:dyDescent="0.2">
      <c r="A1130" s="2">
        <v>1</v>
      </c>
      <c r="B1130" s="1" t="s">
        <v>74</v>
      </c>
      <c r="C1130" s="4">
        <v>8</v>
      </c>
      <c r="D1130" s="8">
        <v>16</v>
      </c>
      <c r="E1130" s="4">
        <v>5</v>
      </c>
      <c r="F1130" s="8">
        <v>13.51</v>
      </c>
      <c r="G1130" s="4">
        <v>3</v>
      </c>
      <c r="H1130" s="8">
        <v>27.27</v>
      </c>
      <c r="I1130" s="4">
        <v>0</v>
      </c>
    </row>
    <row r="1131" spans="1:9" x14ac:dyDescent="0.2">
      <c r="A1131" s="2">
        <v>2</v>
      </c>
      <c r="B1131" s="1" t="s">
        <v>89</v>
      </c>
      <c r="C1131" s="4">
        <v>6</v>
      </c>
      <c r="D1131" s="8">
        <v>12</v>
      </c>
      <c r="E1131" s="4">
        <v>6</v>
      </c>
      <c r="F1131" s="8">
        <v>16.22</v>
      </c>
      <c r="G1131" s="4">
        <v>0</v>
      </c>
      <c r="H1131" s="8">
        <v>0</v>
      </c>
      <c r="I1131" s="4">
        <v>0</v>
      </c>
    </row>
    <row r="1132" spans="1:9" x14ac:dyDescent="0.2">
      <c r="A1132" s="2">
        <v>3</v>
      </c>
      <c r="B1132" s="1" t="s">
        <v>75</v>
      </c>
      <c r="C1132" s="4">
        <v>4</v>
      </c>
      <c r="D1132" s="8">
        <v>8</v>
      </c>
      <c r="E1132" s="4">
        <v>4</v>
      </c>
      <c r="F1132" s="8">
        <v>10.81</v>
      </c>
      <c r="G1132" s="4">
        <v>0</v>
      </c>
      <c r="H1132" s="8">
        <v>0</v>
      </c>
      <c r="I1132" s="4">
        <v>0</v>
      </c>
    </row>
    <row r="1133" spans="1:9" x14ac:dyDescent="0.2">
      <c r="A1133" s="2">
        <v>3</v>
      </c>
      <c r="B1133" s="1" t="s">
        <v>76</v>
      </c>
      <c r="C1133" s="4">
        <v>4</v>
      </c>
      <c r="D1133" s="8">
        <v>8</v>
      </c>
      <c r="E1133" s="4">
        <v>3</v>
      </c>
      <c r="F1133" s="8">
        <v>8.11</v>
      </c>
      <c r="G1133" s="4">
        <v>1</v>
      </c>
      <c r="H1133" s="8">
        <v>9.09</v>
      </c>
      <c r="I1133" s="4">
        <v>0</v>
      </c>
    </row>
    <row r="1134" spans="1:9" x14ac:dyDescent="0.2">
      <c r="A1134" s="2">
        <v>3</v>
      </c>
      <c r="B1134" s="1" t="s">
        <v>83</v>
      </c>
      <c r="C1134" s="4">
        <v>4</v>
      </c>
      <c r="D1134" s="8">
        <v>8</v>
      </c>
      <c r="E1134" s="4">
        <v>1</v>
      </c>
      <c r="F1134" s="8">
        <v>2.7</v>
      </c>
      <c r="G1134" s="4">
        <v>3</v>
      </c>
      <c r="H1134" s="8">
        <v>27.27</v>
      </c>
      <c r="I1134" s="4">
        <v>0</v>
      </c>
    </row>
    <row r="1135" spans="1:9" x14ac:dyDescent="0.2">
      <c r="A1135" s="2">
        <v>6</v>
      </c>
      <c r="B1135" s="1" t="s">
        <v>81</v>
      </c>
      <c r="C1135" s="4">
        <v>2</v>
      </c>
      <c r="D1135" s="8">
        <v>4</v>
      </c>
      <c r="E1135" s="4">
        <v>2</v>
      </c>
      <c r="F1135" s="8">
        <v>5.41</v>
      </c>
      <c r="G1135" s="4">
        <v>0</v>
      </c>
      <c r="H1135" s="8">
        <v>0</v>
      </c>
      <c r="I1135" s="4">
        <v>0</v>
      </c>
    </row>
    <row r="1136" spans="1:9" x14ac:dyDescent="0.2">
      <c r="A1136" s="2">
        <v>6</v>
      </c>
      <c r="B1136" s="1" t="s">
        <v>82</v>
      </c>
      <c r="C1136" s="4">
        <v>2</v>
      </c>
      <c r="D1136" s="8">
        <v>4</v>
      </c>
      <c r="E1136" s="4">
        <v>2</v>
      </c>
      <c r="F1136" s="8">
        <v>5.41</v>
      </c>
      <c r="G1136" s="4">
        <v>0</v>
      </c>
      <c r="H1136" s="8">
        <v>0</v>
      </c>
      <c r="I1136" s="4">
        <v>0</v>
      </c>
    </row>
    <row r="1137" spans="1:9" x14ac:dyDescent="0.2">
      <c r="A1137" s="2">
        <v>6</v>
      </c>
      <c r="B1137" s="1" t="s">
        <v>86</v>
      </c>
      <c r="C1137" s="4">
        <v>2</v>
      </c>
      <c r="D1137" s="8">
        <v>4</v>
      </c>
      <c r="E1137" s="4">
        <v>1</v>
      </c>
      <c r="F1137" s="8">
        <v>2.7</v>
      </c>
      <c r="G1137" s="4">
        <v>1</v>
      </c>
      <c r="H1137" s="8">
        <v>9.09</v>
      </c>
      <c r="I1137" s="4">
        <v>0</v>
      </c>
    </row>
    <row r="1138" spans="1:9" x14ac:dyDescent="0.2">
      <c r="A1138" s="2">
        <v>6</v>
      </c>
      <c r="B1138" s="1" t="s">
        <v>93</v>
      </c>
      <c r="C1138" s="4">
        <v>2</v>
      </c>
      <c r="D1138" s="8">
        <v>4</v>
      </c>
      <c r="E1138" s="4">
        <v>2</v>
      </c>
      <c r="F1138" s="8">
        <v>5.41</v>
      </c>
      <c r="G1138" s="4">
        <v>0</v>
      </c>
      <c r="H1138" s="8">
        <v>0</v>
      </c>
      <c r="I1138" s="4">
        <v>0</v>
      </c>
    </row>
    <row r="1139" spans="1:9" x14ac:dyDescent="0.2">
      <c r="A1139" s="2">
        <v>10</v>
      </c>
      <c r="B1139" s="1" t="s">
        <v>77</v>
      </c>
      <c r="C1139" s="4">
        <v>1</v>
      </c>
      <c r="D1139" s="8">
        <v>2</v>
      </c>
      <c r="E1139" s="4">
        <v>1</v>
      </c>
      <c r="F1139" s="8">
        <v>2.7</v>
      </c>
      <c r="G1139" s="4">
        <v>0</v>
      </c>
      <c r="H1139" s="8">
        <v>0</v>
      </c>
      <c r="I1139" s="4">
        <v>0</v>
      </c>
    </row>
    <row r="1140" spans="1:9" x14ac:dyDescent="0.2">
      <c r="A1140" s="2">
        <v>10</v>
      </c>
      <c r="B1140" s="1" t="s">
        <v>108</v>
      </c>
      <c r="C1140" s="4">
        <v>1</v>
      </c>
      <c r="D1140" s="8">
        <v>2</v>
      </c>
      <c r="E1140" s="4">
        <v>0</v>
      </c>
      <c r="F1140" s="8">
        <v>0</v>
      </c>
      <c r="G1140" s="4">
        <v>1</v>
      </c>
      <c r="H1140" s="8">
        <v>9.09</v>
      </c>
      <c r="I1140" s="4">
        <v>0</v>
      </c>
    </row>
    <row r="1141" spans="1:9" x14ac:dyDescent="0.2">
      <c r="A1141" s="2">
        <v>10</v>
      </c>
      <c r="B1141" s="1" t="s">
        <v>103</v>
      </c>
      <c r="C1141" s="4">
        <v>1</v>
      </c>
      <c r="D1141" s="8">
        <v>2</v>
      </c>
      <c r="E1141" s="4">
        <v>1</v>
      </c>
      <c r="F1141" s="8">
        <v>2.7</v>
      </c>
      <c r="G1141" s="4">
        <v>0</v>
      </c>
      <c r="H1141" s="8">
        <v>0</v>
      </c>
      <c r="I1141" s="4">
        <v>0</v>
      </c>
    </row>
    <row r="1142" spans="1:9" x14ac:dyDescent="0.2">
      <c r="A1142" s="2">
        <v>10</v>
      </c>
      <c r="B1142" s="1" t="s">
        <v>109</v>
      </c>
      <c r="C1142" s="4">
        <v>1</v>
      </c>
      <c r="D1142" s="8">
        <v>2</v>
      </c>
      <c r="E1142" s="4">
        <v>1</v>
      </c>
      <c r="F1142" s="8">
        <v>2.7</v>
      </c>
      <c r="G1142" s="4">
        <v>0</v>
      </c>
      <c r="H1142" s="8">
        <v>0</v>
      </c>
      <c r="I1142" s="4">
        <v>0</v>
      </c>
    </row>
    <row r="1143" spans="1:9" x14ac:dyDescent="0.2">
      <c r="A1143" s="2">
        <v>10</v>
      </c>
      <c r="B1143" s="1" t="s">
        <v>111</v>
      </c>
      <c r="C1143" s="4">
        <v>1</v>
      </c>
      <c r="D1143" s="8">
        <v>2</v>
      </c>
      <c r="E1143" s="4">
        <v>1</v>
      </c>
      <c r="F1143" s="8">
        <v>2.7</v>
      </c>
      <c r="G1143" s="4">
        <v>0</v>
      </c>
      <c r="H1143" s="8">
        <v>0</v>
      </c>
      <c r="I1143" s="4">
        <v>0</v>
      </c>
    </row>
    <row r="1144" spans="1:9" x14ac:dyDescent="0.2">
      <c r="A1144" s="2">
        <v>10</v>
      </c>
      <c r="B1144" s="1" t="s">
        <v>113</v>
      </c>
      <c r="C1144" s="4">
        <v>1</v>
      </c>
      <c r="D1144" s="8">
        <v>2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2">
      <c r="A1145" s="2">
        <v>10</v>
      </c>
      <c r="B1145" s="1" t="s">
        <v>127</v>
      </c>
      <c r="C1145" s="4">
        <v>1</v>
      </c>
      <c r="D1145" s="8">
        <v>2</v>
      </c>
      <c r="E1145" s="4">
        <v>0</v>
      </c>
      <c r="F1145" s="8">
        <v>0</v>
      </c>
      <c r="G1145" s="4">
        <v>1</v>
      </c>
      <c r="H1145" s="8">
        <v>9.09</v>
      </c>
      <c r="I1145" s="4">
        <v>0</v>
      </c>
    </row>
    <row r="1146" spans="1:9" x14ac:dyDescent="0.2">
      <c r="A1146" s="2">
        <v>10</v>
      </c>
      <c r="B1146" s="1" t="s">
        <v>114</v>
      </c>
      <c r="C1146" s="4">
        <v>1</v>
      </c>
      <c r="D1146" s="8">
        <v>2</v>
      </c>
      <c r="E1146" s="4">
        <v>1</v>
      </c>
      <c r="F1146" s="8">
        <v>2.7</v>
      </c>
      <c r="G1146" s="4">
        <v>0</v>
      </c>
      <c r="H1146" s="8">
        <v>0</v>
      </c>
      <c r="I1146" s="4">
        <v>0</v>
      </c>
    </row>
    <row r="1147" spans="1:9" x14ac:dyDescent="0.2">
      <c r="A1147" s="2">
        <v>10</v>
      </c>
      <c r="B1147" s="1" t="s">
        <v>123</v>
      </c>
      <c r="C1147" s="4">
        <v>1</v>
      </c>
      <c r="D1147" s="8">
        <v>2</v>
      </c>
      <c r="E1147" s="4">
        <v>1</v>
      </c>
      <c r="F1147" s="8">
        <v>2.7</v>
      </c>
      <c r="G1147" s="4">
        <v>0</v>
      </c>
      <c r="H1147" s="8">
        <v>0</v>
      </c>
      <c r="I1147" s="4">
        <v>0</v>
      </c>
    </row>
    <row r="1148" spans="1:9" x14ac:dyDescent="0.2">
      <c r="A1148" s="2">
        <v>10</v>
      </c>
      <c r="B1148" s="1" t="s">
        <v>79</v>
      </c>
      <c r="C1148" s="4">
        <v>1</v>
      </c>
      <c r="D1148" s="8">
        <v>2</v>
      </c>
      <c r="E1148" s="4">
        <v>0</v>
      </c>
      <c r="F1148" s="8">
        <v>0</v>
      </c>
      <c r="G1148" s="4">
        <v>1</v>
      </c>
      <c r="H1148" s="8">
        <v>9.09</v>
      </c>
      <c r="I1148" s="4">
        <v>0</v>
      </c>
    </row>
    <row r="1149" spans="1:9" x14ac:dyDescent="0.2">
      <c r="A1149" s="2">
        <v>10</v>
      </c>
      <c r="B1149" s="1" t="s">
        <v>80</v>
      </c>
      <c r="C1149" s="4">
        <v>1</v>
      </c>
      <c r="D1149" s="8">
        <v>2</v>
      </c>
      <c r="E1149" s="4">
        <v>1</v>
      </c>
      <c r="F1149" s="8">
        <v>2.7</v>
      </c>
      <c r="G1149" s="4">
        <v>0</v>
      </c>
      <c r="H1149" s="8">
        <v>0</v>
      </c>
      <c r="I1149" s="4">
        <v>0</v>
      </c>
    </row>
    <row r="1150" spans="1:9" x14ac:dyDescent="0.2">
      <c r="A1150" s="2">
        <v>10</v>
      </c>
      <c r="B1150" s="1" t="s">
        <v>85</v>
      </c>
      <c r="C1150" s="4">
        <v>1</v>
      </c>
      <c r="D1150" s="8">
        <v>2</v>
      </c>
      <c r="E1150" s="4">
        <v>1</v>
      </c>
      <c r="F1150" s="8">
        <v>2.7</v>
      </c>
      <c r="G1150" s="4">
        <v>0</v>
      </c>
      <c r="H1150" s="8">
        <v>0</v>
      </c>
      <c r="I1150" s="4">
        <v>0</v>
      </c>
    </row>
    <row r="1151" spans="1:9" x14ac:dyDescent="0.2">
      <c r="A1151" s="2">
        <v>10</v>
      </c>
      <c r="B1151" s="1" t="s">
        <v>106</v>
      </c>
      <c r="C1151" s="4">
        <v>1</v>
      </c>
      <c r="D1151" s="8">
        <v>2</v>
      </c>
      <c r="E1151" s="4">
        <v>1</v>
      </c>
      <c r="F1151" s="8">
        <v>2.7</v>
      </c>
      <c r="G1151" s="4">
        <v>0</v>
      </c>
      <c r="H1151" s="8">
        <v>0</v>
      </c>
      <c r="I1151" s="4">
        <v>0</v>
      </c>
    </row>
    <row r="1152" spans="1:9" x14ac:dyDescent="0.2">
      <c r="A1152" s="2">
        <v>10</v>
      </c>
      <c r="B1152" s="1" t="s">
        <v>88</v>
      </c>
      <c r="C1152" s="4">
        <v>1</v>
      </c>
      <c r="D1152" s="8">
        <v>2</v>
      </c>
      <c r="E1152" s="4">
        <v>1</v>
      </c>
      <c r="F1152" s="8">
        <v>2.7</v>
      </c>
      <c r="G1152" s="4">
        <v>0</v>
      </c>
      <c r="H1152" s="8">
        <v>0</v>
      </c>
      <c r="I1152" s="4">
        <v>0</v>
      </c>
    </row>
    <row r="1153" spans="1:9" x14ac:dyDescent="0.2">
      <c r="A1153" s="2">
        <v>10</v>
      </c>
      <c r="B1153" s="1" t="s">
        <v>90</v>
      </c>
      <c r="C1153" s="4">
        <v>1</v>
      </c>
      <c r="D1153" s="8">
        <v>2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2">
      <c r="A1154" s="2">
        <v>10</v>
      </c>
      <c r="B1154" s="1" t="s">
        <v>91</v>
      </c>
      <c r="C1154" s="4">
        <v>1</v>
      </c>
      <c r="D1154" s="8">
        <v>2</v>
      </c>
      <c r="E1154" s="4">
        <v>1</v>
      </c>
      <c r="F1154" s="8">
        <v>2.7</v>
      </c>
      <c r="G1154" s="4">
        <v>0</v>
      </c>
      <c r="H1154" s="8">
        <v>0</v>
      </c>
      <c r="I1154" s="4">
        <v>0</v>
      </c>
    </row>
    <row r="1155" spans="1:9" x14ac:dyDescent="0.2">
      <c r="A1155" s="1"/>
      <c r="C1155" s="4"/>
      <c r="D1155" s="8"/>
      <c r="E1155" s="4"/>
      <c r="F1155" s="8"/>
      <c r="G1155" s="4"/>
      <c r="H1155" s="8"/>
      <c r="I1155" s="4"/>
    </row>
    <row r="1156" spans="1:9" x14ac:dyDescent="0.2">
      <c r="A1156" s="1" t="s">
        <v>48</v>
      </c>
      <c r="C1156" s="4"/>
      <c r="D1156" s="8"/>
      <c r="E1156" s="4"/>
      <c r="F1156" s="8"/>
      <c r="G1156" s="4"/>
      <c r="H1156" s="8"/>
      <c r="I1156" s="4"/>
    </row>
    <row r="1157" spans="1:9" x14ac:dyDescent="0.2">
      <c r="A1157" s="2">
        <v>1</v>
      </c>
      <c r="B1157" s="1" t="s">
        <v>74</v>
      </c>
      <c r="C1157" s="4">
        <v>7</v>
      </c>
      <c r="D1157" s="8">
        <v>20</v>
      </c>
      <c r="E1157" s="4">
        <v>6</v>
      </c>
      <c r="F1157" s="8">
        <v>25</v>
      </c>
      <c r="G1157" s="4">
        <v>1</v>
      </c>
      <c r="H1157" s="8">
        <v>9.09</v>
      </c>
      <c r="I1157" s="4">
        <v>0</v>
      </c>
    </row>
    <row r="1158" spans="1:9" x14ac:dyDescent="0.2">
      <c r="A1158" s="2">
        <v>2</v>
      </c>
      <c r="B1158" s="1" t="s">
        <v>75</v>
      </c>
      <c r="C1158" s="4">
        <v>4</v>
      </c>
      <c r="D1158" s="8">
        <v>11.43</v>
      </c>
      <c r="E1158" s="4">
        <v>4</v>
      </c>
      <c r="F1158" s="8">
        <v>16.670000000000002</v>
      </c>
      <c r="G1158" s="4">
        <v>0</v>
      </c>
      <c r="H1158" s="8">
        <v>0</v>
      </c>
      <c r="I1158" s="4">
        <v>0</v>
      </c>
    </row>
    <row r="1159" spans="1:9" x14ac:dyDescent="0.2">
      <c r="A1159" s="2">
        <v>3</v>
      </c>
      <c r="B1159" s="1" t="s">
        <v>81</v>
      </c>
      <c r="C1159" s="4">
        <v>3</v>
      </c>
      <c r="D1159" s="8">
        <v>8.57</v>
      </c>
      <c r="E1159" s="4">
        <v>3</v>
      </c>
      <c r="F1159" s="8">
        <v>12.5</v>
      </c>
      <c r="G1159" s="4">
        <v>0</v>
      </c>
      <c r="H1159" s="8">
        <v>0</v>
      </c>
      <c r="I1159" s="4">
        <v>0</v>
      </c>
    </row>
    <row r="1160" spans="1:9" x14ac:dyDescent="0.2">
      <c r="A1160" s="2">
        <v>3</v>
      </c>
      <c r="B1160" s="1" t="s">
        <v>83</v>
      </c>
      <c r="C1160" s="4">
        <v>3</v>
      </c>
      <c r="D1160" s="8">
        <v>8.57</v>
      </c>
      <c r="E1160" s="4">
        <v>2</v>
      </c>
      <c r="F1160" s="8">
        <v>8.33</v>
      </c>
      <c r="G1160" s="4">
        <v>1</v>
      </c>
      <c r="H1160" s="8">
        <v>9.09</v>
      </c>
      <c r="I1160" s="4">
        <v>0</v>
      </c>
    </row>
    <row r="1161" spans="1:9" x14ac:dyDescent="0.2">
      <c r="A1161" s="2">
        <v>5</v>
      </c>
      <c r="B1161" s="1" t="s">
        <v>109</v>
      </c>
      <c r="C1161" s="4">
        <v>2</v>
      </c>
      <c r="D1161" s="8">
        <v>5.71</v>
      </c>
      <c r="E1161" s="4">
        <v>1</v>
      </c>
      <c r="F1161" s="8">
        <v>4.17</v>
      </c>
      <c r="G1161" s="4">
        <v>1</v>
      </c>
      <c r="H1161" s="8">
        <v>9.09</v>
      </c>
      <c r="I1161" s="4">
        <v>0</v>
      </c>
    </row>
    <row r="1162" spans="1:9" x14ac:dyDescent="0.2">
      <c r="A1162" s="2">
        <v>5</v>
      </c>
      <c r="B1162" s="1" t="s">
        <v>111</v>
      </c>
      <c r="C1162" s="4">
        <v>2</v>
      </c>
      <c r="D1162" s="8">
        <v>5.71</v>
      </c>
      <c r="E1162" s="4">
        <v>0</v>
      </c>
      <c r="F1162" s="8">
        <v>0</v>
      </c>
      <c r="G1162" s="4">
        <v>2</v>
      </c>
      <c r="H1162" s="8">
        <v>18.18</v>
      </c>
      <c r="I1162" s="4">
        <v>0</v>
      </c>
    </row>
    <row r="1163" spans="1:9" x14ac:dyDescent="0.2">
      <c r="A1163" s="2">
        <v>5</v>
      </c>
      <c r="B1163" s="1" t="s">
        <v>89</v>
      </c>
      <c r="C1163" s="4">
        <v>2</v>
      </c>
      <c r="D1163" s="8">
        <v>5.71</v>
      </c>
      <c r="E1163" s="4">
        <v>2</v>
      </c>
      <c r="F1163" s="8">
        <v>8.33</v>
      </c>
      <c r="G1163" s="4">
        <v>0</v>
      </c>
      <c r="H1163" s="8">
        <v>0</v>
      </c>
      <c r="I1163" s="4">
        <v>0</v>
      </c>
    </row>
    <row r="1164" spans="1:9" x14ac:dyDescent="0.2">
      <c r="A1164" s="2">
        <v>5</v>
      </c>
      <c r="B1164" s="1" t="s">
        <v>90</v>
      </c>
      <c r="C1164" s="4">
        <v>2</v>
      </c>
      <c r="D1164" s="8">
        <v>5.71</v>
      </c>
      <c r="E1164" s="4">
        <v>1</v>
      </c>
      <c r="F1164" s="8">
        <v>4.17</v>
      </c>
      <c r="G1164" s="4">
        <v>1</v>
      </c>
      <c r="H1164" s="8">
        <v>9.09</v>
      </c>
      <c r="I1164" s="4">
        <v>0</v>
      </c>
    </row>
    <row r="1165" spans="1:9" x14ac:dyDescent="0.2">
      <c r="A1165" s="2">
        <v>9</v>
      </c>
      <c r="B1165" s="1" t="s">
        <v>76</v>
      </c>
      <c r="C1165" s="4">
        <v>1</v>
      </c>
      <c r="D1165" s="8">
        <v>2.86</v>
      </c>
      <c r="E1165" s="4">
        <v>1</v>
      </c>
      <c r="F1165" s="8">
        <v>4.17</v>
      </c>
      <c r="G1165" s="4">
        <v>0</v>
      </c>
      <c r="H1165" s="8">
        <v>0</v>
      </c>
      <c r="I1165" s="4">
        <v>0</v>
      </c>
    </row>
    <row r="1166" spans="1:9" x14ac:dyDescent="0.2">
      <c r="A1166" s="2">
        <v>9</v>
      </c>
      <c r="B1166" s="1" t="s">
        <v>77</v>
      </c>
      <c r="C1166" s="4">
        <v>1</v>
      </c>
      <c r="D1166" s="8">
        <v>2.86</v>
      </c>
      <c r="E1166" s="4">
        <v>0</v>
      </c>
      <c r="F1166" s="8">
        <v>0</v>
      </c>
      <c r="G1166" s="4">
        <v>1</v>
      </c>
      <c r="H1166" s="8">
        <v>9.09</v>
      </c>
      <c r="I1166" s="4">
        <v>0</v>
      </c>
    </row>
    <row r="1167" spans="1:9" x14ac:dyDescent="0.2">
      <c r="A1167" s="2">
        <v>9</v>
      </c>
      <c r="B1167" s="1" t="s">
        <v>108</v>
      </c>
      <c r="C1167" s="4">
        <v>1</v>
      </c>
      <c r="D1167" s="8">
        <v>2.86</v>
      </c>
      <c r="E1167" s="4">
        <v>0</v>
      </c>
      <c r="F1167" s="8">
        <v>0</v>
      </c>
      <c r="G1167" s="4">
        <v>1</v>
      </c>
      <c r="H1167" s="8">
        <v>9.09</v>
      </c>
      <c r="I1167" s="4">
        <v>0</v>
      </c>
    </row>
    <row r="1168" spans="1:9" x14ac:dyDescent="0.2">
      <c r="A1168" s="2">
        <v>9</v>
      </c>
      <c r="B1168" s="1" t="s">
        <v>99</v>
      </c>
      <c r="C1168" s="4">
        <v>1</v>
      </c>
      <c r="D1168" s="8">
        <v>2.86</v>
      </c>
      <c r="E1168" s="4">
        <v>0</v>
      </c>
      <c r="F1168" s="8">
        <v>0</v>
      </c>
      <c r="G1168" s="4">
        <v>1</v>
      </c>
      <c r="H1168" s="8">
        <v>9.09</v>
      </c>
      <c r="I1168" s="4">
        <v>0</v>
      </c>
    </row>
    <row r="1169" spans="1:9" x14ac:dyDescent="0.2">
      <c r="A1169" s="2">
        <v>9</v>
      </c>
      <c r="B1169" s="1" t="s">
        <v>94</v>
      </c>
      <c r="C1169" s="4">
        <v>1</v>
      </c>
      <c r="D1169" s="8">
        <v>2.86</v>
      </c>
      <c r="E1169" s="4">
        <v>1</v>
      </c>
      <c r="F1169" s="8">
        <v>4.17</v>
      </c>
      <c r="G1169" s="4">
        <v>0</v>
      </c>
      <c r="H1169" s="8">
        <v>0</v>
      </c>
      <c r="I1169" s="4">
        <v>0</v>
      </c>
    </row>
    <row r="1170" spans="1:9" x14ac:dyDescent="0.2">
      <c r="A1170" s="2">
        <v>9</v>
      </c>
      <c r="B1170" s="1" t="s">
        <v>85</v>
      </c>
      <c r="C1170" s="4">
        <v>1</v>
      </c>
      <c r="D1170" s="8">
        <v>2.86</v>
      </c>
      <c r="E1170" s="4">
        <v>1</v>
      </c>
      <c r="F1170" s="8">
        <v>4.17</v>
      </c>
      <c r="G1170" s="4">
        <v>0</v>
      </c>
      <c r="H1170" s="8">
        <v>0</v>
      </c>
      <c r="I1170" s="4">
        <v>0</v>
      </c>
    </row>
    <row r="1171" spans="1:9" x14ac:dyDescent="0.2">
      <c r="A1171" s="2">
        <v>9</v>
      </c>
      <c r="B1171" s="1" t="s">
        <v>87</v>
      </c>
      <c r="C1171" s="4">
        <v>1</v>
      </c>
      <c r="D1171" s="8">
        <v>2.86</v>
      </c>
      <c r="E1171" s="4">
        <v>0</v>
      </c>
      <c r="F1171" s="8">
        <v>0</v>
      </c>
      <c r="G1171" s="4">
        <v>1</v>
      </c>
      <c r="H1171" s="8">
        <v>9.09</v>
      </c>
      <c r="I1171" s="4">
        <v>0</v>
      </c>
    </row>
    <row r="1172" spans="1:9" x14ac:dyDescent="0.2">
      <c r="A1172" s="2">
        <v>9</v>
      </c>
      <c r="B1172" s="1" t="s">
        <v>100</v>
      </c>
      <c r="C1172" s="4">
        <v>1</v>
      </c>
      <c r="D1172" s="8">
        <v>2.86</v>
      </c>
      <c r="E1172" s="4">
        <v>0</v>
      </c>
      <c r="F1172" s="8">
        <v>0</v>
      </c>
      <c r="G1172" s="4">
        <v>1</v>
      </c>
      <c r="H1172" s="8">
        <v>9.09</v>
      </c>
      <c r="I1172" s="4">
        <v>0</v>
      </c>
    </row>
    <row r="1173" spans="1:9" x14ac:dyDescent="0.2">
      <c r="A1173" s="2">
        <v>9</v>
      </c>
      <c r="B1173" s="1" t="s">
        <v>118</v>
      </c>
      <c r="C1173" s="4">
        <v>1</v>
      </c>
      <c r="D1173" s="8">
        <v>2.86</v>
      </c>
      <c r="E1173" s="4">
        <v>1</v>
      </c>
      <c r="F1173" s="8">
        <v>4.17</v>
      </c>
      <c r="G1173" s="4">
        <v>0</v>
      </c>
      <c r="H1173" s="8">
        <v>0</v>
      </c>
      <c r="I1173" s="4">
        <v>0</v>
      </c>
    </row>
    <row r="1174" spans="1:9" x14ac:dyDescent="0.2">
      <c r="A1174" s="2">
        <v>9</v>
      </c>
      <c r="B1174" s="1" t="s">
        <v>93</v>
      </c>
      <c r="C1174" s="4">
        <v>1</v>
      </c>
      <c r="D1174" s="8">
        <v>2.86</v>
      </c>
      <c r="E1174" s="4">
        <v>1</v>
      </c>
      <c r="F1174" s="8">
        <v>4.17</v>
      </c>
      <c r="G1174" s="4">
        <v>0</v>
      </c>
      <c r="H1174" s="8">
        <v>0</v>
      </c>
      <c r="I1174" s="4">
        <v>0</v>
      </c>
    </row>
    <row r="1175" spans="1:9" x14ac:dyDescent="0.2">
      <c r="A1175" s="1"/>
      <c r="C1175" s="4"/>
      <c r="D1175" s="8"/>
      <c r="E1175" s="4"/>
      <c r="F1175" s="8"/>
      <c r="G1175" s="4"/>
      <c r="H1175" s="8"/>
      <c r="I1175" s="4"/>
    </row>
    <row r="1176" spans="1:9" x14ac:dyDescent="0.2">
      <c r="A1176" s="1" t="s">
        <v>49</v>
      </c>
      <c r="C1176" s="4"/>
      <c r="D1176" s="8"/>
      <c r="E1176" s="4"/>
      <c r="F1176" s="8"/>
      <c r="G1176" s="4"/>
      <c r="H1176" s="8"/>
      <c r="I1176" s="4"/>
    </row>
    <row r="1177" spans="1:9" x14ac:dyDescent="0.2">
      <c r="A1177" s="2">
        <v>1</v>
      </c>
      <c r="B1177" s="1" t="s">
        <v>89</v>
      </c>
      <c r="C1177" s="4">
        <v>52</v>
      </c>
      <c r="D1177" s="8">
        <v>14.29</v>
      </c>
      <c r="E1177" s="4">
        <v>52</v>
      </c>
      <c r="F1177" s="8">
        <v>22.91</v>
      </c>
      <c r="G1177" s="4">
        <v>0</v>
      </c>
      <c r="H1177" s="8">
        <v>0</v>
      </c>
      <c r="I1177" s="4">
        <v>0</v>
      </c>
    </row>
    <row r="1178" spans="1:9" x14ac:dyDescent="0.2">
      <c r="A1178" s="2">
        <v>2</v>
      </c>
      <c r="B1178" s="1" t="s">
        <v>83</v>
      </c>
      <c r="C1178" s="4">
        <v>42</v>
      </c>
      <c r="D1178" s="8">
        <v>11.54</v>
      </c>
      <c r="E1178" s="4">
        <v>22</v>
      </c>
      <c r="F1178" s="8">
        <v>9.69</v>
      </c>
      <c r="G1178" s="4">
        <v>20</v>
      </c>
      <c r="H1178" s="8">
        <v>15.15</v>
      </c>
      <c r="I1178" s="4">
        <v>0</v>
      </c>
    </row>
    <row r="1179" spans="1:9" x14ac:dyDescent="0.2">
      <c r="A1179" s="2">
        <v>2</v>
      </c>
      <c r="B1179" s="1" t="s">
        <v>88</v>
      </c>
      <c r="C1179" s="4">
        <v>42</v>
      </c>
      <c r="D1179" s="8">
        <v>11.54</v>
      </c>
      <c r="E1179" s="4">
        <v>38</v>
      </c>
      <c r="F1179" s="8">
        <v>16.739999999999998</v>
      </c>
      <c r="G1179" s="4">
        <v>4</v>
      </c>
      <c r="H1179" s="8">
        <v>3.03</v>
      </c>
      <c r="I1179" s="4">
        <v>0</v>
      </c>
    </row>
    <row r="1180" spans="1:9" x14ac:dyDescent="0.2">
      <c r="A1180" s="2">
        <v>4</v>
      </c>
      <c r="B1180" s="1" t="s">
        <v>81</v>
      </c>
      <c r="C1180" s="4">
        <v>27</v>
      </c>
      <c r="D1180" s="8">
        <v>7.42</v>
      </c>
      <c r="E1180" s="4">
        <v>18</v>
      </c>
      <c r="F1180" s="8">
        <v>7.93</v>
      </c>
      <c r="G1180" s="4">
        <v>9</v>
      </c>
      <c r="H1180" s="8">
        <v>6.82</v>
      </c>
      <c r="I1180" s="4">
        <v>0</v>
      </c>
    </row>
    <row r="1181" spans="1:9" x14ac:dyDescent="0.2">
      <c r="A1181" s="2">
        <v>5</v>
      </c>
      <c r="B1181" s="1" t="s">
        <v>74</v>
      </c>
      <c r="C1181" s="4">
        <v>24</v>
      </c>
      <c r="D1181" s="8">
        <v>6.59</v>
      </c>
      <c r="E1181" s="4">
        <v>14</v>
      </c>
      <c r="F1181" s="8">
        <v>6.17</v>
      </c>
      <c r="G1181" s="4">
        <v>10</v>
      </c>
      <c r="H1181" s="8">
        <v>7.58</v>
      </c>
      <c r="I1181" s="4">
        <v>0</v>
      </c>
    </row>
    <row r="1182" spans="1:9" x14ac:dyDescent="0.2">
      <c r="A1182" s="2">
        <v>6</v>
      </c>
      <c r="B1182" s="1" t="s">
        <v>82</v>
      </c>
      <c r="C1182" s="4">
        <v>16</v>
      </c>
      <c r="D1182" s="8">
        <v>4.4000000000000004</v>
      </c>
      <c r="E1182" s="4">
        <v>10</v>
      </c>
      <c r="F1182" s="8">
        <v>4.41</v>
      </c>
      <c r="G1182" s="4">
        <v>6</v>
      </c>
      <c r="H1182" s="8">
        <v>4.55</v>
      </c>
      <c r="I1182" s="4">
        <v>0</v>
      </c>
    </row>
    <row r="1183" spans="1:9" x14ac:dyDescent="0.2">
      <c r="A1183" s="2">
        <v>7</v>
      </c>
      <c r="B1183" s="1" t="s">
        <v>75</v>
      </c>
      <c r="C1183" s="4">
        <v>12</v>
      </c>
      <c r="D1183" s="8">
        <v>3.3</v>
      </c>
      <c r="E1183" s="4">
        <v>8</v>
      </c>
      <c r="F1183" s="8">
        <v>3.52</v>
      </c>
      <c r="G1183" s="4">
        <v>4</v>
      </c>
      <c r="H1183" s="8">
        <v>3.03</v>
      </c>
      <c r="I1183" s="4">
        <v>0</v>
      </c>
    </row>
    <row r="1184" spans="1:9" x14ac:dyDescent="0.2">
      <c r="A1184" s="2">
        <v>7</v>
      </c>
      <c r="B1184" s="1" t="s">
        <v>91</v>
      </c>
      <c r="C1184" s="4">
        <v>12</v>
      </c>
      <c r="D1184" s="8">
        <v>3.3</v>
      </c>
      <c r="E1184" s="4">
        <v>9</v>
      </c>
      <c r="F1184" s="8">
        <v>3.96</v>
      </c>
      <c r="G1184" s="4">
        <v>3</v>
      </c>
      <c r="H1184" s="8">
        <v>2.27</v>
      </c>
      <c r="I1184" s="4">
        <v>0</v>
      </c>
    </row>
    <row r="1185" spans="1:9" x14ac:dyDescent="0.2">
      <c r="A1185" s="2">
        <v>9</v>
      </c>
      <c r="B1185" s="1" t="s">
        <v>109</v>
      </c>
      <c r="C1185" s="4">
        <v>10</v>
      </c>
      <c r="D1185" s="8">
        <v>2.75</v>
      </c>
      <c r="E1185" s="4">
        <v>1</v>
      </c>
      <c r="F1185" s="8">
        <v>0.44</v>
      </c>
      <c r="G1185" s="4">
        <v>9</v>
      </c>
      <c r="H1185" s="8">
        <v>6.82</v>
      </c>
      <c r="I1185" s="4">
        <v>0</v>
      </c>
    </row>
    <row r="1186" spans="1:9" x14ac:dyDescent="0.2">
      <c r="A1186" s="2">
        <v>9</v>
      </c>
      <c r="B1186" s="1" t="s">
        <v>87</v>
      </c>
      <c r="C1186" s="4">
        <v>10</v>
      </c>
      <c r="D1186" s="8">
        <v>2.75</v>
      </c>
      <c r="E1186" s="4">
        <v>5</v>
      </c>
      <c r="F1186" s="8">
        <v>2.2000000000000002</v>
      </c>
      <c r="G1186" s="4">
        <v>5</v>
      </c>
      <c r="H1186" s="8">
        <v>3.79</v>
      </c>
      <c r="I1186" s="4">
        <v>0</v>
      </c>
    </row>
    <row r="1187" spans="1:9" x14ac:dyDescent="0.2">
      <c r="A1187" s="2">
        <v>11</v>
      </c>
      <c r="B1187" s="1" t="s">
        <v>76</v>
      </c>
      <c r="C1187" s="4">
        <v>8</v>
      </c>
      <c r="D1187" s="8">
        <v>2.2000000000000002</v>
      </c>
      <c r="E1187" s="4">
        <v>5</v>
      </c>
      <c r="F1187" s="8">
        <v>2.2000000000000002</v>
      </c>
      <c r="G1187" s="4">
        <v>3</v>
      </c>
      <c r="H1187" s="8">
        <v>2.27</v>
      </c>
      <c r="I1187" s="4">
        <v>0</v>
      </c>
    </row>
    <row r="1188" spans="1:9" x14ac:dyDescent="0.2">
      <c r="A1188" s="2">
        <v>11</v>
      </c>
      <c r="B1188" s="1" t="s">
        <v>93</v>
      </c>
      <c r="C1188" s="4">
        <v>8</v>
      </c>
      <c r="D1188" s="8">
        <v>2.2000000000000002</v>
      </c>
      <c r="E1188" s="4">
        <v>7</v>
      </c>
      <c r="F1188" s="8">
        <v>3.08</v>
      </c>
      <c r="G1188" s="4">
        <v>1</v>
      </c>
      <c r="H1188" s="8">
        <v>0.76</v>
      </c>
      <c r="I1188" s="4">
        <v>0</v>
      </c>
    </row>
    <row r="1189" spans="1:9" x14ac:dyDescent="0.2">
      <c r="A1189" s="2">
        <v>13</v>
      </c>
      <c r="B1189" s="1" t="s">
        <v>78</v>
      </c>
      <c r="C1189" s="4">
        <v>7</v>
      </c>
      <c r="D1189" s="8">
        <v>1.92</v>
      </c>
      <c r="E1189" s="4">
        <v>3</v>
      </c>
      <c r="F1189" s="8">
        <v>1.32</v>
      </c>
      <c r="G1189" s="4">
        <v>4</v>
      </c>
      <c r="H1189" s="8">
        <v>3.03</v>
      </c>
      <c r="I1189" s="4">
        <v>0</v>
      </c>
    </row>
    <row r="1190" spans="1:9" x14ac:dyDescent="0.2">
      <c r="A1190" s="2">
        <v>13</v>
      </c>
      <c r="B1190" s="1" t="s">
        <v>92</v>
      </c>
      <c r="C1190" s="4">
        <v>7</v>
      </c>
      <c r="D1190" s="8">
        <v>1.92</v>
      </c>
      <c r="E1190" s="4">
        <v>0</v>
      </c>
      <c r="F1190" s="8">
        <v>0</v>
      </c>
      <c r="G1190" s="4">
        <v>7</v>
      </c>
      <c r="H1190" s="8">
        <v>5.3</v>
      </c>
      <c r="I1190" s="4">
        <v>0</v>
      </c>
    </row>
    <row r="1191" spans="1:9" x14ac:dyDescent="0.2">
      <c r="A1191" s="2">
        <v>15</v>
      </c>
      <c r="B1191" s="1" t="s">
        <v>108</v>
      </c>
      <c r="C1191" s="4">
        <v>6</v>
      </c>
      <c r="D1191" s="8">
        <v>1.65</v>
      </c>
      <c r="E1191" s="4">
        <v>1</v>
      </c>
      <c r="F1191" s="8">
        <v>0.44</v>
      </c>
      <c r="G1191" s="4">
        <v>5</v>
      </c>
      <c r="H1191" s="8">
        <v>3.79</v>
      </c>
      <c r="I1191" s="4">
        <v>0</v>
      </c>
    </row>
    <row r="1192" spans="1:9" x14ac:dyDescent="0.2">
      <c r="A1192" s="2">
        <v>15</v>
      </c>
      <c r="B1192" s="1" t="s">
        <v>97</v>
      </c>
      <c r="C1192" s="4">
        <v>6</v>
      </c>
      <c r="D1192" s="8">
        <v>1.65</v>
      </c>
      <c r="E1192" s="4">
        <v>2</v>
      </c>
      <c r="F1192" s="8">
        <v>0.88</v>
      </c>
      <c r="G1192" s="4">
        <v>3</v>
      </c>
      <c r="H1192" s="8">
        <v>2.27</v>
      </c>
      <c r="I1192" s="4">
        <v>0</v>
      </c>
    </row>
    <row r="1193" spans="1:9" x14ac:dyDescent="0.2">
      <c r="A1193" s="2">
        <v>17</v>
      </c>
      <c r="B1193" s="1" t="s">
        <v>103</v>
      </c>
      <c r="C1193" s="4">
        <v>5</v>
      </c>
      <c r="D1193" s="8">
        <v>1.37</v>
      </c>
      <c r="E1193" s="4">
        <v>1</v>
      </c>
      <c r="F1193" s="8">
        <v>0.44</v>
      </c>
      <c r="G1193" s="4">
        <v>4</v>
      </c>
      <c r="H1193" s="8">
        <v>3.03</v>
      </c>
      <c r="I1193" s="4">
        <v>0</v>
      </c>
    </row>
    <row r="1194" spans="1:9" x14ac:dyDescent="0.2">
      <c r="A1194" s="2">
        <v>17</v>
      </c>
      <c r="B1194" s="1" t="s">
        <v>111</v>
      </c>
      <c r="C1194" s="4">
        <v>5</v>
      </c>
      <c r="D1194" s="8">
        <v>1.37</v>
      </c>
      <c r="E1194" s="4">
        <v>0</v>
      </c>
      <c r="F1194" s="8">
        <v>0</v>
      </c>
      <c r="G1194" s="4">
        <v>5</v>
      </c>
      <c r="H1194" s="8">
        <v>3.79</v>
      </c>
      <c r="I1194" s="4">
        <v>0</v>
      </c>
    </row>
    <row r="1195" spans="1:9" x14ac:dyDescent="0.2">
      <c r="A1195" s="2">
        <v>17</v>
      </c>
      <c r="B1195" s="1" t="s">
        <v>86</v>
      </c>
      <c r="C1195" s="4">
        <v>5</v>
      </c>
      <c r="D1195" s="8">
        <v>1.37</v>
      </c>
      <c r="E1195" s="4">
        <v>5</v>
      </c>
      <c r="F1195" s="8">
        <v>2.2000000000000002</v>
      </c>
      <c r="G1195" s="4">
        <v>0</v>
      </c>
      <c r="H1195" s="8">
        <v>0</v>
      </c>
      <c r="I1195" s="4">
        <v>0</v>
      </c>
    </row>
    <row r="1196" spans="1:9" x14ac:dyDescent="0.2">
      <c r="A1196" s="2">
        <v>17</v>
      </c>
      <c r="B1196" s="1" t="s">
        <v>101</v>
      </c>
      <c r="C1196" s="4">
        <v>5</v>
      </c>
      <c r="D1196" s="8">
        <v>1.37</v>
      </c>
      <c r="E1196" s="4">
        <v>4</v>
      </c>
      <c r="F1196" s="8">
        <v>1.76</v>
      </c>
      <c r="G1196" s="4">
        <v>0</v>
      </c>
      <c r="H1196" s="8">
        <v>0</v>
      </c>
      <c r="I1196" s="4">
        <v>0</v>
      </c>
    </row>
    <row r="1197" spans="1:9" x14ac:dyDescent="0.2">
      <c r="A1197" s="1"/>
      <c r="C1197" s="4"/>
      <c r="D1197" s="8"/>
      <c r="E1197" s="4"/>
      <c r="F1197" s="8"/>
      <c r="G1197" s="4"/>
      <c r="H1197" s="8"/>
      <c r="I1197" s="4"/>
    </row>
    <row r="1198" spans="1:9" x14ac:dyDescent="0.2">
      <c r="A1198" s="1" t="s">
        <v>50</v>
      </c>
      <c r="C1198" s="4"/>
      <c r="D1198" s="8"/>
      <c r="E1198" s="4"/>
      <c r="F1198" s="8"/>
      <c r="G1198" s="4"/>
      <c r="H1198" s="8"/>
      <c r="I1198" s="4"/>
    </row>
    <row r="1199" spans="1:9" x14ac:dyDescent="0.2">
      <c r="A1199" s="2">
        <v>1</v>
      </c>
      <c r="B1199" s="1" t="s">
        <v>83</v>
      </c>
      <c r="C1199" s="4">
        <v>26</v>
      </c>
      <c r="D1199" s="8">
        <v>13</v>
      </c>
      <c r="E1199" s="4">
        <v>16</v>
      </c>
      <c r="F1199" s="8">
        <v>13.22</v>
      </c>
      <c r="G1199" s="4">
        <v>10</v>
      </c>
      <c r="H1199" s="8">
        <v>14.08</v>
      </c>
      <c r="I1199" s="4">
        <v>0</v>
      </c>
    </row>
    <row r="1200" spans="1:9" x14ac:dyDescent="0.2">
      <c r="A1200" s="2">
        <v>1</v>
      </c>
      <c r="B1200" s="1" t="s">
        <v>89</v>
      </c>
      <c r="C1200" s="4">
        <v>26</v>
      </c>
      <c r="D1200" s="8">
        <v>13</v>
      </c>
      <c r="E1200" s="4">
        <v>24</v>
      </c>
      <c r="F1200" s="8">
        <v>19.829999999999998</v>
      </c>
      <c r="G1200" s="4">
        <v>2</v>
      </c>
      <c r="H1200" s="8">
        <v>2.82</v>
      </c>
      <c r="I1200" s="4">
        <v>0</v>
      </c>
    </row>
    <row r="1201" spans="1:9" x14ac:dyDescent="0.2">
      <c r="A1201" s="2">
        <v>3</v>
      </c>
      <c r="B1201" s="1" t="s">
        <v>81</v>
      </c>
      <c r="C1201" s="4">
        <v>22</v>
      </c>
      <c r="D1201" s="8">
        <v>11</v>
      </c>
      <c r="E1201" s="4">
        <v>15</v>
      </c>
      <c r="F1201" s="8">
        <v>12.4</v>
      </c>
      <c r="G1201" s="4">
        <v>6</v>
      </c>
      <c r="H1201" s="8">
        <v>8.4499999999999993</v>
      </c>
      <c r="I1201" s="4">
        <v>1</v>
      </c>
    </row>
    <row r="1202" spans="1:9" x14ac:dyDescent="0.2">
      <c r="A1202" s="2">
        <v>4</v>
      </c>
      <c r="B1202" s="1" t="s">
        <v>74</v>
      </c>
      <c r="C1202" s="4">
        <v>17</v>
      </c>
      <c r="D1202" s="8">
        <v>8.5</v>
      </c>
      <c r="E1202" s="4">
        <v>6</v>
      </c>
      <c r="F1202" s="8">
        <v>4.96</v>
      </c>
      <c r="G1202" s="4">
        <v>11</v>
      </c>
      <c r="H1202" s="8">
        <v>15.49</v>
      </c>
      <c r="I1202" s="4">
        <v>0</v>
      </c>
    </row>
    <row r="1203" spans="1:9" x14ac:dyDescent="0.2">
      <c r="A1203" s="2">
        <v>5</v>
      </c>
      <c r="B1203" s="1" t="s">
        <v>88</v>
      </c>
      <c r="C1203" s="4">
        <v>14</v>
      </c>
      <c r="D1203" s="8">
        <v>7</v>
      </c>
      <c r="E1203" s="4">
        <v>14</v>
      </c>
      <c r="F1203" s="8">
        <v>11.57</v>
      </c>
      <c r="G1203" s="4">
        <v>0</v>
      </c>
      <c r="H1203" s="8">
        <v>0</v>
      </c>
      <c r="I1203" s="4">
        <v>0</v>
      </c>
    </row>
    <row r="1204" spans="1:9" x14ac:dyDescent="0.2">
      <c r="A1204" s="2">
        <v>6</v>
      </c>
      <c r="B1204" s="1" t="s">
        <v>82</v>
      </c>
      <c r="C1204" s="4">
        <v>11</v>
      </c>
      <c r="D1204" s="8">
        <v>5.5</v>
      </c>
      <c r="E1204" s="4">
        <v>8</v>
      </c>
      <c r="F1204" s="8">
        <v>6.61</v>
      </c>
      <c r="G1204" s="4">
        <v>3</v>
      </c>
      <c r="H1204" s="8">
        <v>4.2300000000000004</v>
      </c>
      <c r="I1204" s="4">
        <v>0</v>
      </c>
    </row>
    <row r="1205" spans="1:9" x14ac:dyDescent="0.2">
      <c r="A1205" s="2">
        <v>7</v>
      </c>
      <c r="B1205" s="1" t="s">
        <v>75</v>
      </c>
      <c r="C1205" s="4">
        <v>10</v>
      </c>
      <c r="D1205" s="8">
        <v>5</v>
      </c>
      <c r="E1205" s="4">
        <v>8</v>
      </c>
      <c r="F1205" s="8">
        <v>6.61</v>
      </c>
      <c r="G1205" s="4">
        <v>2</v>
      </c>
      <c r="H1205" s="8">
        <v>2.82</v>
      </c>
      <c r="I1205" s="4">
        <v>0</v>
      </c>
    </row>
    <row r="1206" spans="1:9" x14ac:dyDescent="0.2">
      <c r="A1206" s="2">
        <v>8</v>
      </c>
      <c r="B1206" s="1" t="s">
        <v>76</v>
      </c>
      <c r="C1206" s="4">
        <v>8</v>
      </c>
      <c r="D1206" s="8">
        <v>4</v>
      </c>
      <c r="E1206" s="4">
        <v>2</v>
      </c>
      <c r="F1206" s="8">
        <v>1.65</v>
      </c>
      <c r="G1206" s="4">
        <v>6</v>
      </c>
      <c r="H1206" s="8">
        <v>8.4499999999999993</v>
      </c>
      <c r="I1206" s="4">
        <v>0</v>
      </c>
    </row>
    <row r="1207" spans="1:9" x14ac:dyDescent="0.2">
      <c r="A1207" s="2">
        <v>8</v>
      </c>
      <c r="B1207" s="1" t="s">
        <v>90</v>
      </c>
      <c r="C1207" s="4">
        <v>8</v>
      </c>
      <c r="D1207" s="8">
        <v>4</v>
      </c>
      <c r="E1207" s="4">
        <v>2</v>
      </c>
      <c r="F1207" s="8">
        <v>1.65</v>
      </c>
      <c r="G1207" s="4">
        <v>1</v>
      </c>
      <c r="H1207" s="8">
        <v>1.41</v>
      </c>
      <c r="I1207" s="4">
        <v>0</v>
      </c>
    </row>
    <row r="1208" spans="1:9" x14ac:dyDescent="0.2">
      <c r="A1208" s="2">
        <v>10</v>
      </c>
      <c r="B1208" s="1" t="s">
        <v>106</v>
      </c>
      <c r="C1208" s="4">
        <v>6</v>
      </c>
      <c r="D1208" s="8">
        <v>3</v>
      </c>
      <c r="E1208" s="4">
        <v>3</v>
      </c>
      <c r="F1208" s="8">
        <v>2.48</v>
      </c>
      <c r="G1208" s="4">
        <v>2</v>
      </c>
      <c r="H1208" s="8">
        <v>2.82</v>
      </c>
      <c r="I1208" s="4">
        <v>1</v>
      </c>
    </row>
    <row r="1209" spans="1:9" x14ac:dyDescent="0.2">
      <c r="A1209" s="2">
        <v>11</v>
      </c>
      <c r="B1209" s="1" t="s">
        <v>101</v>
      </c>
      <c r="C1209" s="4">
        <v>5</v>
      </c>
      <c r="D1209" s="8">
        <v>2.5</v>
      </c>
      <c r="E1209" s="4">
        <v>3</v>
      </c>
      <c r="F1209" s="8">
        <v>2.48</v>
      </c>
      <c r="G1209" s="4">
        <v>2</v>
      </c>
      <c r="H1209" s="8">
        <v>2.82</v>
      </c>
      <c r="I1209" s="4">
        <v>0</v>
      </c>
    </row>
    <row r="1210" spans="1:9" x14ac:dyDescent="0.2">
      <c r="A1210" s="2">
        <v>11</v>
      </c>
      <c r="B1210" s="1" t="s">
        <v>93</v>
      </c>
      <c r="C1210" s="4">
        <v>5</v>
      </c>
      <c r="D1210" s="8">
        <v>2.5</v>
      </c>
      <c r="E1210" s="4">
        <v>3</v>
      </c>
      <c r="F1210" s="8">
        <v>2.48</v>
      </c>
      <c r="G1210" s="4">
        <v>2</v>
      </c>
      <c r="H1210" s="8">
        <v>2.82</v>
      </c>
      <c r="I1210" s="4">
        <v>0</v>
      </c>
    </row>
    <row r="1211" spans="1:9" x14ac:dyDescent="0.2">
      <c r="A1211" s="2">
        <v>13</v>
      </c>
      <c r="B1211" s="1" t="s">
        <v>77</v>
      </c>
      <c r="C1211" s="4">
        <v>4</v>
      </c>
      <c r="D1211" s="8">
        <v>2</v>
      </c>
      <c r="E1211" s="4">
        <v>3</v>
      </c>
      <c r="F1211" s="8">
        <v>2.48</v>
      </c>
      <c r="G1211" s="4">
        <v>1</v>
      </c>
      <c r="H1211" s="8">
        <v>1.41</v>
      </c>
      <c r="I1211" s="4">
        <v>0</v>
      </c>
    </row>
    <row r="1212" spans="1:9" x14ac:dyDescent="0.2">
      <c r="A1212" s="2">
        <v>13</v>
      </c>
      <c r="B1212" s="1" t="s">
        <v>114</v>
      </c>
      <c r="C1212" s="4">
        <v>4</v>
      </c>
      <c r="D1212" s="8">
        <v>2</v>
      </c>
      <c r="E1212" s="4">
        <v>3</v>
      </c>
      <c r="F1212" s="8">
        <v>2.48</v>
      </c>
      <c r="G1212" s="4">
        <v>1</v>
      </c>
      <c r="H1212" s="8">
        <v>1.41</v>
      </c>
      <c r="I1212" s="4">
        <v>0</v>
      </c>
    </row>
    <row r="1213" spans="1:9" x14ac:dyDescent="0.2">
      <c r="A1213" s="2">
        <v>13</v>
      </c>
      <c r="B1213" s="1" t="s">
        <v>85</v>
      </c>
      <c r="C1213" s="4">
        <v>4</v>
      </c>
      <c r="D1213" s="8">
        <v>2</v>
      </c>
      <c r="E1213" s="4">
        <v>0</v>
      </c>
      <c r="F1213" s="8">
        <v>0</v>
      </c>
      <c r="G1213" s="4">
        <v>4</v>
      </c>
      <c r="H1213" s="8">
        <v>5.63</v>
      </c>
      <c r="I1213" s="4">
        <v>0</v>
      </c>
    </row>
    <row r="1214" spans="1:9" x14ac:dyDescent="0.2">
      <c r="A1214" s="2">
        <v>13</v>
      </c>
      <c r="B1214" s="1" t="s">
        <v>92</v>
      </c>
      <c r="C1214" s="4">
        <v>4</v>
      </c>
      <c r="D1214" s="8">
        <v>2</v>
      </c>
      <c r="E1214" s="4">
        <v>0</v>
      </c>
      <c r="F1214" s="8">
        <v>0</v>
      </c>
      <c r="G1214" s="4">
        <v>4</v>
      </c>
      <c r="H1214" s="8">
        <v>5.63</v>
      </c>
      <c r="I1214" s="4">
        <v>0</v>
      </c>
    </row>
    <row r="1215" spans="1:9" x14ac:dyDescent="0.2">
      <c r="A1215" s="2">
        <v>17</v>
      </c>
      <c r="B1215" s="1" t="s">
        <v>80</v>
      </c>
      <c r="C1215" s="4">
        <v>3</v>
      </c>
      <c r="D1215" s="8">
        <v>1.5</v>
      </c>
      <c r="E1215" s="4">
        <v>3</v>
      </c>
      <c r="F1215" s="8">
        <v>2.48</v>
      </c>
      <c r="G1215" s="4">
        <v>0</v>
      </c>
      <c r="H1215" s="8">
        <v>0</v>
      </c>
      <c r="I1215" s="4">
        <v>0</v>
      </c>
    </row>
    <row r="1216" spans="1:9" x14ac:dyDescent="0.2">
      <c r="A1216" s="2">
        <v>18</v>
      </c>
      <c r="B1216" s="1" t="s">
        <v>110</v>
      </c>
      <c r="C1216" s="4">
        <v>2</v>
      </c>
      <c r="D1216" s="8">
        <v>1</v>
      </c>
      <c r="E1216" s="4">
        <v>1</v>
      </c>
      <c r="F1216" s="8">
        <v>0.83</v>
      </c>
      <c r="G1216" s="4">
        <v>1</v>
      </c>
      <c r="H1216" s="8">
        <v>1.41</v>
      </c>
      <c r="I1216" s="4">
        <v>0</v>
      </c>
    </row>
    <row r="1217" spans="1:9" x14ac:dyDescent="0.2">
      <c r="A1217" s="2">
        <v>18</v>
      </c>
      <c r="B1217" s="1" t="s">
        <v>111</v>
      </c>
      <c r="C1217" s="4">
        <v>2</v>
      </c>
      <c r="D1217" s="8">
        <v>1</v>
      </c>
      <c r="E1217" s="4">
        <v>0</v>
      </c>
      <c r="F1217" s="8">
        <v>0</v>
      </c>
      <c r="G1217" s="4">
        <v>2</v>
      </c>
      <c r="H1217" s="8">
        <v>2.82</v>
      </c>
      <c r="I1217" s="4">
        <v>0</v>
      </c>
    </row>
    <row r="1218" spans="1:9" x14ac:dyDescent="0.2">
      <c r="A1218" s="2">
        <v>18</v>
      </c>
      <c r="B1218" s="1" t="s">
        <v>99</v>
      </c>
      <c r="C1218" s="4">
        <v>2</v>
      </c>
      <c r="D1218" s="8">
        <v>1</v>
      </c>
      <c r="E1218" s="4">
        <v>1</v>
      </c>
      <c r="F1218" s="8">
        <v>0.83</v>
      </c>
      <c r="G1218" s="4">
        <v>1</v>
      </c>
      <c r="H1218" s="8">
        <v>1.41</v>
      </c>
      <c r="I1218" s="4">
        <v>0</v>
      </c>
    </row>
    <row r="1219" spans="1:9" x14ac:dyDescent="0.2">
      <c r="A1219" s="2">
        <v>18</v>
      </c>
      <c r="B1219" s="1" t="s">
        <v>94</v>
      </c>
      <c r="C1219" s="4">
        <v>2</v>
      </c>
      <c r="D1219" s="8">
        <v>1</v>
      </c>
      <c r="E1219" s="4">
        <v>0</v>
      </c>
      <c r="F1219" s="8">
        <v>0</v>
      </c>
      <c r="G1219" s="4">
        <v>2</v>
      </c>
      <c r="H1219" s="8">
        <v>2.82</v>
      </c>
      <c r="I1219" s="4">
        <v>0</v>
      </c>
    </row>
    <row r="1220" spans="1:9" x14ac:dyDescent="0.2">
      <c r="A1220" s="2">
        <v>18</v>
      </c>
      <c r="B1220" s="1" t="s">
        <v>87</v>
      </c>
      <c r="C1220" s="4">
        <v>2</v>
      </c>
      <c r="D1220" s="8">
        <v>1</v>
      </c>
      <c r="E1220" s="4">
        <v>2</v>
      </c>
      <c r="F1220" s="8">
        <v>1.65</v>
      </c>
      <c r="G1220" s="4">
        <v>0</v>
      </c>
      <c r="H1220" s="8">
        <v>0</v>
      </c>
      <c r="I1220" s="4">
        <v>0</v>
      </c>
    </row>
    <row r="1221" spans="1:9" x14ac:dyDescent="0.2">
      <c r="A1221" s="2">
        <v>18</v>
      </c>
      <c r="B1221" s="1" t="s">
        <v>97</v>
      </c>
      <c r="C1221" s="4">
        <v>2</v>
      </c>
      <c r="D1221" s="8">
        <v>1</v>
      </c>
      <c r="E1221" s="4">
        <v>0</v>
      </c>
      <c r="F1221" s="8">
        <v>0</v>
      </c>
      <c r="G1221" s="4">
        <v>2</v>
      </c>
      <c r="H1221" s="8">
        <v>2.82</v>
      </c>
      <c r="I1221" s="4">
        <v>0</v>
      </c>
    </row>
    <row r="1222" spans="1:9" x14ac:dyDescent="0.2">
      <c r="A1222" s="1"/>
      <c r="C1222" s="4"/>
      <c r="D1222" s="8"/>
      <c r="E1222" s="4"/>
      <c r="F1222" s="8"/>
      <c r="G1222" s="4"/>
      <c r="H1222" s="8"/>
      <c r="I122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AF6D-CEBB-4F74-9CB0-A228F5F5750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75</v>
      </c>
      <c r="D6" s="8">
        <v>12.46</v>
      </c>
      <c r="E6" s="12">
        <v>16</v>
      </c>
      <c r="F6" s="8">
        <v>6.25</v>
      </c>
      <c r="G6" s="12">
        <v>59</v>
      </c>
      <c r="H6" s="8">
        <v>17.46</v>
      </c>
      <c r="I6" s="12">
        <v>0</v>
      </c>
    </row>
    <row r="7" spans="2:9" ht="15" customHeight="1" x14ac:dyDescent="0.2">
      <c r="B7" t="s">
        <v>53</v>
      </c>
      <c r="C7" s="12">
        <v>54</v>
      </c>
      <c r="D7" s="8">
        <v>8.9700000000000006</v>
      </c>
      <c r="E7" s="12">
        <v>14</v>
      </c>
      <c r="F7" s="8">
        <v>5.47</v>
      </c>
      <c r="G7" s="12">
        <v>40</v>
      </c>
      <c r="H7" s="8">
        <v>11.83</v>
      </c>
      <c r="I7" s="12">
        <v>0</v>
      </c>
    </row>
    <row r="8" spans="2:9" ht="15" customHeight="1" x14ac:dyDescent="0.2">
      <c r="B8" t="s">
        <v>54</v>
      </c>
      <c r="C8" s="12">
        <v>8</v>
      </c>
      <c r="D8" s="8">
        <v>1.33</v>
      </c>
      <c r="E8" s="12">
        <v>0</v>
      </c>
      <c r="F8" s="8">
        <v>0</v>
      </c>
      <c r="G8" s="12">
        <v>7</v>
      </c>
      <c r="H8" s="8">
        <v>2.0699999999999998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1.5</v>
      </c>
      <c r="E9" s="12">
        <v>0</v>
      </c>
      <c r="F9" s="8">
        <v>0</v>
      </c>
      <c r="G9" s="12">
        <v>9</v>
      </c>
      <c r="H9" s="8">
        <v>2.66</v>
      </c>
      <c r="I9" s="12">
        <v>0</v>
      </c>
    </row>
    <row r="10" spans="2:9" ht="15" customHeight="1" x14ac:dyDescent="0.2">
      <c r="B10" t="s">
        <v>56</v>
      </c>
      <c r="C10" s="12">
        <v>17</v>
      </c>
      <c r="D10" s="8">
        <v>2.82</v>
      </c>
      <c r="E10" s="12">
        <v>2</v>
      </c>
      <c r="F10" s="8">
        <v>0.78</v>
      </c>
      <c r="G10" s="12">
        <v>14</v>
      </c>
      <c r="H10" s="8">
        <v>4.1399999999999997</v>
      </c>
      <c r="I10" s="12">
        <v>1</v>
      </c>
    </row>
    <row r="11" spans="2:9" ht="15" customHeight="1" x14ac:dyDescent="0.2">
      <c r="B11" t="s">
        <v>57</v>
      </c>
      <c r="C11" s="12">
        <v>137</v>
      </c>
      <c r="D11" s="8">
        <v>22.76</v>
      </c>
      <c r="E11" s="12">
        <v>60</v>
      </c>
      <c r="F11" s="8">
        <v>23.44</v>
      </c>
      <c r="G11" s="12">
        <v>76</v>
      </c>
      <c r="H11" s="8">
        <v>22.49</v>
      </c>
      <c r="I11" s="12">
        <v>1</v>
      </c>
    </row>
    <row r="12" spans="2:9" ht="15" customHeight="1" x14ac:dyDescent="0.2">
      <c r="B12" t="s">
        <v>58</v>
      </c>
      <c r="C12" s="12">
        <v>2</v>
      </c>
      <c r="D12" s="8">
        <v>0.33</v>
      </c>
      <c r="E12" s="12">
        <v>1</v>
      </c>
      <c r="F12" s="8">
        <v>0.39</v>
      </c>
      <c r="G12" s="12">
        <v>1</v>
      </c>
      <c r="H12" s="8">
        <v>0.3</v>
      </c>
      <c r="I12" s="12">
        <v>0</v>
      </c>
    </row>
    <row r="13" spans="2:9" ht="15" customHeight="1" x14ac:dyDescent="0.2">
      <c r="B13" t="s">
        <v>59</v>
      </c>
      <c r="C13" s="12">
        <v>46</v>
      </c>
      <c r="D13" s="8">
        <v>7.64</v>
      </c>
      <c r="E13" s="12">
        <v>15</v>
      </c>
      <c r="F13" s="8">
        <v>5.86</v>
      </c>
      <c r="G13" s="12">
        <v>30</v>
      </c>
      <c r="H13" s="8">
        <v>8.8800000000000008</v>
      </c>
      <c r="I13" s="12">
        <v>0</v>
      </c>
    </row>
    <row r="14" spans="2:9" ht="15" customHeight="1" x14ac:dyDescent="0.2">
      <c r="B14" t="s">
        <v>60</v>
      </c>
      <c r="C14" s="12">
        <v>31</v>
      </c>
      <c r="D14" s="8">
        <v>5.15</v>
      </c>
      <c r="E14" s="12">
        <v>10</v>
      </c>
      <c r="F14" s="8">
        <v>3.91</v>
      </c>
      <c r="G14" s="12">
        <v>21</v>
      </c>
      <c r="H14" s="8">
        <v>6.21</v>
      </c>
      <c r="I14" s="12">
        <v>0</v>
      </c>
    </row>
    <row r="15" spans="2:9" ht="15" customHeight="1" x14ac:dyDescent="0.2">
      <c r="B15" t="s">
        <v>61</v>
      </c>
      <c r="C15" s="12">
        <v>70</v>
      </c>
      <c r="D15" s="8">
        <v>11.63</v>
      </c>
      <c r="E15" s="12">
        <v>40</v>
      </c>
      <c r="F15" s="8">
        <v>15.63</v>
      </c>
      <c r="G15" s="12">
        <v>30</v>
      </c>
      <c r="H15" s="8">
        <v>8.8800000000000008</v>
      </c>
      <c r="I15" s="12">
        <v>0</v>
      </c>
    </row>
    <row r="16" spans="2:9" ht="15" customHeight="1" x14ac:dyDescent="0.2">
      <c r="B16" t="s">
        <v>62</v>
      </c>
      <c r="C16" s="12">
        <v>76</v>
      </c>
      <c r="D16" s="8">
        <v>12.62</v>
      </c>
      <c r="E16" s="12">
        <v>59</v>
      </c>
      <c r="F16" s="8">
        <v>23.05</v>
      </c>
      <c r="G16" s="12">
        <v>17</v>
      </c>
      <c r="H16" s="8">
        <v>5.03</v>
      </c>
      <c r="I16" s="12">
        <v>0</v>
      </c>
    </row>
    <row r="17" spans="2:9" ht="15" customHeight="1" x14ac:dyDescent="0.2">
      <c r="B17" t="s">
        <v>63</v>
      </c>
      <c r="C17" s="12">
        <v>26</v>
      </c>
      <c r="D17" s="8">
        <v>4.32</v>
      </c>
      <c r="E17" s="12">
        <v>18</v>
      </c>
      <c r="F17" s="8">
        <v>7.03</v>
      </c>
      <c r="G17" s="12">
        <v>6</v>
      </c>
      <c r="H17" s="8">
        <v>1.78</v>
      </c>
      <c r="I17" s="12">
        <v>0</v>
      </c>
    </row>
    <row r="18" spans="2:9" ht="15" customHeight="1" x14ac:dyDescent="0.2">
      <c r="B18" t="s">
        <v>64</v>
      </c>
      <c r="C18" s="12">
        <v>17</v>
      </c>
      <c r="D18" s="8">
        <v>2.82</v>
      </c>
      <c r="E18" s="12">
        <v>11</v>
      </c>
      <c r="F18" s="8">
        <v>4.3</v>
      </c>
      <c r="G18" s="12">
        <v>5</v>
      </c>
      <c r="H18" s="8">
        <v>1.48</v>
      </c>
      <c r="I18" s="12">
        <v>0</v>
      </c>
    </row>
    <row r="19" spans="2:9" ht="15" customHeight="1" x14ac:dyDescent="0.2">
      <c r="B19" t="s">
        <v>65</v>
      </c>
      <c r="C19" s="12">
        <v>34</v>
      </c>
      <c r="D19" s="8">
        <v>5.65</v>
      </c>
      <c r="E19" s="12">
        <v>10</v>
      </c>
      <c r="F19" s="8">
        <v>3.91</v>
      </c>
      <c r="G19" s="12">
        <v>23</v>
      </c>
      <c r="H19" s="8">
        <v>6.8</v>
      </c>
      <c r="I19" s="12">
        <v>0</v>
      </c>
    </row>
    <row r="20" spans="2:9" ht="15" customHeight="1" x14ac:dyDescent="0.2">
      <c r="B20" s="9" t="s">
        <v>281</v>
      </c>
      <c r="C20" s="12">
        <f>SUM(LTBL_43403[総数／事業所数])</f>
        <v>602</v>
      </c>
      <c r="E20" s="12">
        <f>SUBTOTAL(109,LTBL_43403[個人／事業所数])</f>
        <v>256</v>
      </c>
      <c r="G20" s="12">
        <f>SUBTOTAL(109,LTBL_43403[法人／事業所数])</f>
        <v>338</v>
      </c>
      <c r="I20" s="12">
        <f>SUBTOTAL(109,LTBL_43403[法人以外の団体／事業所数])</f>
        <v>2</v>
      </c>
    </row>
    <row r="21" spans="2:9" ht="15" customHeight="1" x14ac:dyDescent="0.2">
      <c r="E21" s="11">
        <f>LTBL_43403[[#Totals],[個人／事業所数]]/LTBL_43403[[#Totals],[総数／事業所数]]</f>
        <v>0.42524916943521596</v>
      </c>
      <c r="G21" s="11">
        <f>LTBL_43403[[#Totals],[法人／事業所数]]/LTBL_43403[[#Totals],[総数／事業所数]]</f>
        <v>0.56146179401993357</v>
      </c>
      <c r="I21" s="11">
        <f>LTBL_43403[[#Totals],[法人以外の団体／事業所数]]/LTBL_43403[[#Totals],[総数／事業所数]]</f>
        <v>3.3222591362126247E-3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60</v>
      </c>
      <c r="D24" s="8">
        <v>9.9700000000000006</v>
      </c>
      <c r="E24" s="12">
        <v>50</v>
      </c>
      <c r="F24" s="8">
        <v>19.53</v>
      </c>
      <c r="G24" s="12">
        <v>10</v>
      </c>
      <c r="H24" s="8">
        <v>2.96</v>
      </c>
      <c r="I24" s="12">
        <v>0</v>
      </c>
    </row>
    <row r="25" spans="2:9" ht="15" customHeight="1" x14ac:dyDescent="0.2">
      <c r="B25" t="s">
        <v>88</v>
      </c>
      <c r="C25" s="12">
        <v>57</v>
      </c>
      <c r="D25" s="8">
        <v>9.4700000000000006</v>
      </c>
      <c r="E25" s="12">
        <v>38</v>
      </c>
      <c r="F25" s="8">
        <v>14.84</v>
      </c>
      <c r="G25" s="12">
        <v>19</v>
      </c>
      <c r="H25" s="8">
        <v>5.62</v>
      </c>
      <c r="I25" s="12">
        <v>0</v>
      </c>
    </row>
    <row r="26" spans="2:9" ht="15" customHeight="1" x14ac:dyDescent="0.2">
      <c r="B26" t="s">
        <v>83</v>
      </c>
      <c r="C26" s="12">
        <v>40</v>
      </c>
      <c r="D26" s="8">
        <v>6.64</v>
      </c>
      <c r="E26" s="12">
        <v>19</v>
      </c>
      <c r="F26" s="8">
        <v>7.42</v>
      </c>
      <c r="G26" s="12">
        <v>21</v>
      </c>
      <c r="H26" s="8">
        <v>6.21</v>
      </c>
      <c r="I26" s="12">
        <v>0</v>
      </c>
    </row>
    <row r="27" spans="2:9" ht="15" customHeight="1" x14ac:dyDescent="0.2">
      <c r="B27" t="s">
        <v>74</v>
      </c>
      <c r="C27" s="12">
        <v>39</v>
      </c>
      <c r="D27" s="8">
        <v>6.48</v>
      </c>
      <c r="E27" s="12">
        <v>2</v>
      </c>
      <c r="F27" s="8">
        <v>0.78</v>
      </c>
      <c r="G27" s="12">
        <v>37</v>
      </c>
      <c r="H27" s="8">
        <v>10.95</v>
      </c>
      <c r="I27" s="12">
        <v>0</v>
      </c>
    </row>
    <row r="28" spans="2:9" ht="15" customHeight="1" x14ac:dyDescent="0.2">
      <c r="B28" t="s">
        <v>85</v>
      </c>
      <c r="C28" s="12">
        <v>35</v>
      </c>
      <c r="D28" s="8">
        <v>5.81</v>
      </c>
      <c r="E28" s="12">
        <v>12</v>
      </c>
      <c r="F28" s="8">
        <v>4.6900000000000004</v>
      </c>
      <c r="G28" s="12">
        <v>22</v>
      </c>
      <c r="H28" s="8">
        <v>6.51</v>
      </c>
      <c r="I28" s="12">
        <v>0</v>
      </c>
    </row>
    <row r="29" spans="2:9" ht="15" customHeight="1" x14ac:dyDescent="0.2">
      <c r="B29" t="s">
        <v>81</v>
      </c>
      <c r="C29" s="12">
        <v>32</v>
      </c>
      <c r="D29" s="8">
        <v>5.32</v>
      </c>
      <c r="E29" s="12">
        <v>22</v>
      </c>
      <c r="F29" s="8">
        <v>8.59</v>
      </c>
      <c r="G29" s="12">
        <v>10</v>
      </c>
      <c r="H29" s="8">
        <v>2.96</v>
      </c>
      <c r="I29" s="12">
        <v>0</v>
      </c>
    </row>
    <row r="30" spans="2:9" ht="15" customHeight="1" x14ac:dyDescent="0.2">
      <c r="B30" t="s">
        <v>90</v>
      </c>
      <c r="C30" s="12">
        <v>26</v>
      </c>
      <c r="D30" s="8">
        <v>4.32</v>
      </c>
      <c r="E30" s="12">
        <v>18</v>
      </c>
      <c r="F30" s="8">
        <v>7.03</v>
      </c>
      <c r="G30" s="12">
        <v>6</v>
      </c>
      <c r="H30" s="8">
        <v>1.78</v>
      </c>
      <c r="I30" s="12">
        <v>0</v>
      </c>
    </row>
    <row r="31" spans="2:9" ht="15" customHeight="1" x14ac:dyDescent="0.2">
      <c r="B31" t="s">
        <v>82</v>
      </c>
      <c r="C31" s="12">
        <v>21</v>
      </c>
      <c r="D31" s="8">
        <v>3.49</v>
      </c>
      <c r="E31" s="12">
        <v>14</v>
      </c>
      <c r="F31" s="8">
        <v>5.47</v>
      </c>
      <c r="G31" s="12">
        <v>7</v>
      </c>
      <c r="H31" s="8">
        <v>2.0699999999999998</v>
      </c>
      <c r="I31" s="12">
        <v>0</v>
      </c>
    </row>
    <row r="32" spans="2:9" ht="15" customHeight="1" x14ac:dyDescent="0.2">
      <c r="B32" t="s">
        <v>76</v>
      </c>
      <c r="C32" s="12">
        <v>20</v>
      </c>
      <c r="D32" s="8">
        <v>3.32</v>
      </c>
      <c r="E32" s="12">
        <v>8</v>
      </c>
      <c r="F32" s="8">
        <v>3.13</v>
      </c>
      <c r="G32" s="12">
        <v>12</v>
      </c>
      <c r="H32" s="8">
        <v>3.55</v>
      </c>
      <c r="I32" s="12">
        <v>0</v>
      </c>
    </row>
    <row r="33" spans="2:9" ht="15" customHeight="1" x14ac:dyDescent="0.2">
      <c r="B33" t="s">
        <v>75</v>
      </c>
      <c r="C33" s="12">
        <v>16</v>
      </c>
      <c r="D33" s="8">
        <v>2.66</v>
      </c>
      <c r="E33" s="12">
        <v>6</v>
      </c>
      <c r="F33" s="8">
        <v>2.34</v>
      </c>
      <c r="G33" s="12">
        <v>10</v>
      </c>
      <c r="H33" s="8">
        <v>2.96</v>
      </c>
      <c r="I33" s="12">
        <v>0</v>
      </c>
    </row>
    <row r="34" spans="2:9" ht="15" customHeight="1" x14ac:dyDescent="0.2">
      <c r="B34" t="s">
        <v>87</v>
      </c>
      <c r="C34" s="12">
        <v>16</v>
      </c>
      <c r="D34" s="8">
        <v>2.66</v>
      </c>
      <c r="E34" s="12">
        <v>1</v>
      </c>
      <c r="F34" s="8">
        <v>0.39</v>
      </c>
      <c r="G34" s="12">
        <v>15</v>
      </c>
      <c r="H34" s="8">
        <v>4.4400000000000004</v>
      </c>
      <c r="I34" s="12">
        <v>0</v>
      </c>
    </row>
    <row r="35" spans="2:9" ht="15" customHeight="1" x14ac:dyDescent="0.2">
      <c r="B35" t="s">
        <v>86</v>
      </c>
      <c r="C35" s="12">
        <v>15</v>
      </c>
      <c r="D35" s="8">
        <v>2.4900000000000002</v>
      </c>
      <c r="E35" s="12">
        <v>9</v>
      </c>
      <c r="F35" s="8">
        <v>3.52</v>
      </c>
      <c r="G35" s="12">
        <v>6</v>
      </c>
      <c r="H35" s="8">
        <v>1.78</v>
      </c>
      <c r="I35" s="12">
        <v>0</v>
      </c>
    </row>
    <row r="36" spans="2:9" ht="15" customHeight="1" x14ac:dyDescent="0.2">
      <c r="B36" t="s">
        <v>93</v>
      </c>
      <c r="C36" s="12">
        <v>14</v>
      </c>
      <c r="D36" s="8">
        <v>2.33</v>
      </c>
      <c r="E36" s="12">
        <v>10</v>
      </c>
      <c r="F36" s="8">
        <v>3.91</v>
      </c>
      <c r="G36" s="12">
        <v>4</v>
      </c>
      <c r="H36" s="8">
        <v>1.18</v>
      </c>
      <c r="I36" s="12">
        <v>0</v>
      </c>
    </row>
    <row r="37" spans="2:9" ht="15" customHeight="1" x14ac:dyDescent="0.2">
      <c r="B37" t="s">
        <v>91</v>
      </c>
      <c r="C37" s="12">
        <v>12</v>
      </c>
      <c r="D37" s="8">
        <v>1.99</v>
      </c>
      <c r="E37" s="12">
        <v>11</v>
      </c>
      <c r="F37" s="8">
        <v>4.3</v>
      </c>
      <c r="G37" s="12">
        <v>1</v>
      </c>
      <c r="H37" s="8">
        <v>0.3</v>
      </c>
      <c r="I37" s="12">
        <v>0</v>
      </c>
    </row>
    <row r="38" spans="2:9" ht="15" customHeight="1" x14ac:dyDescent="0.2">
      <c r="B38" t="s">
        <v>77</v>
      </c>
      <c r="C38" s="12">
        <v>11</v>
      </c>
      <c r="D38" s="8">
        <v>1.83</v>
      </c>
      <c r="E38" s="12">
        <v>2</v>
      </c>
      <c r="F38" s="8">
        <v>0.78</v>
      </c>
      <c r="G38" s="12">
        <v>9</v>
      </c>
      <c r="H38" s="8">
        <v>2.66</v>
      </c>
      <c r="I38" s="12">
        <v>0</v>
      </c>
    </row>
    <row r="39" spans="2:9" ht="15" customHeight="1" x14ac:dyDescent="0.2">
      <c r="B39" t="s">
        <v>114</v>
      </c>
      <c r="C39" s="12">
        <v>10</v>
      </c>
      <c r="D39" s="8">
        <v>1.66</v>
      </c>
      <c r="E39" s="12">
        <v>2</v>
      </c>
      <c r="F39" s="8">
        <v>0.78</v>
      </c>
      <c r="G39" s="12">
        <v>8</v>
      </c>
      <c r="H39" s="8">
        <v>2.37</v>
      </c>
      <c r="I39" s="12">
        <v>0</v>
      </c>
    </row>
    <row r="40" spans="2:9" ht="15" customHeight="1" x14ac:dyDescent="0.2">
      <c r="B40" t="s">
        <v>79</v>
      </c>
      <c r="C40" s="12">
        <v>10</v>
      </c>
      <c r="D40" s="8">
        <v>1.66</v>
      </c>
      <c r="E40" s="12">
        <v>0</v>
      </c>
      <c r="F40" s="8">
        <v>0</v>
      </c>
      <c r="G40" s="12">
        <v>10</v>
      </c>
      <c r="H40" s="8">
        <v>2.96</v>
      </c>
      <c r="I40" s="12">
        <v>0</v>
      </c>
    </row>
    <row r="41" spans="2:9" ht="15" customHeight="1" x14ac:dyDescent="0.2">
      <c r="B41" t="s">
        <v>80</v>
      </c>
      <c r="C41" s="12">
        <v>10</v>
      </c>
      <c r="D41" s="8">
        <v>1.66</v>
      </c>
      <c r="E41" s="12">
        <v>2</v>
      </c>
      <c r="F41" s="8">
        <v>0.78</v>
      </c>
      <c r="G41" s="12">
        <v>7</v>
      </c>
      <c r="H41" s="8">
        <v>2.0699999999999998</v>
      </c>
      <c r="I41" s="12">
        <v>1</v>
      </c>
    </row>
    <row r="42" spans="2:9" ht="15" customHeight="1" x14ac:dyDescent="0.2">
      <c r="B42" t="s">
        <v>97</v>
      </c>
      <c r="C42" s="12">
        <v>10</v>
      </c>
      <c r="D42" s="8">
        <v>1.66</v>
      </c>
      <c r="E42" s="12">
        <v>4</v>
      </c>
      <c r="F42" s="8">
        <v>1.56</v>
      </c>
      <c r="G42" s="12">
        <v>6</v>
      </c>
      <c r="H42" s="8">
        <v>1.78</v>
      </c>
      <c r="I42" s="12">
        <v>0</v>
      </c>
    </row>
    <row r="43" spans="2:9" ht="15" customHeight="1" x14ac:dyDescent="0.2">
      <c r="B43" t="s">
        <v>99</v>
      </c>
      <c r="C43" s="12">
        <v>9</v>
      </c>
      <c r="D43" s="8">
        <v>1.5</v>
      </c>
      <c r="E43" s="12">
        <v>2</v>
      </c>
      <c r="F43" s="8">
        <v>0.78</v>
      </c>
      <c r="G43" s="12">
        <v>7</v>
      </c>
      <c r="H43" s="8">
        <v>2.0699999999999998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28</v>
      </c>
      <c r="D47" s="8">
        <v>4.6500000000000004</v>
      </c>
      <c r="E47" s="12">
        <v>23</v>
      </c>
      <c r="F47" s="8">
        <v>8.98</v>
      </c>
      <c r="G47" s="12">
        <v>5</v>
      </c>
      <c r="H47" s="8">
        <v>1.48</v>
      </c>
      <c r="I47" s="12">
        <v>0</v>
      </c>
    </row>
    <row r="48" spans="2:9" ht="15" customHeight="1" x14ac:dyDescent="0.2">
      <c r="B48" t="s">
        <v>145</v>
      </c>
      <c r="C48" s="12">
        <v>25</v>
      </c>
      <c r="D48" s="8">
        <v>4.1500000000000004</v>
      </c>
      <c r="E48" s="12">
        <v>11</v>
      </c>
      <c r="F48" s="8">
        <v>4.3</v>
      </c>
      <c r="G48" s="12">
        <v>13</v>
      </c>
      <c r="H48" s="8">
        <v>3.85</v>
      </c>
      <c r="I48" s="12">
        <v>0</v>
      </c>
    </row>
    <row r="49" spans="2:9" ht="15" customHeight="1" x14ac:dyDescent="0.2">
      <c r="B49" t="s">
        <v>150</v>
      </c>
      <c r="C49" s="12">
        <v>20</v>
      </c>
      <c r="D49" s="8">
        <v>3.32</v>
      </c>
      <c r="E49" s="12">
        <v>19</v>
      </c>
      <c r="F49" s="8">
        <v>7.42</v>
      </c>
      <c r="G49" s="12">
        <v>1</v>
      </c>
      <c r="H49" s="8">
        <v>0.3</v>
      </c>
      <c r="I49" s="12">
        <v>0</v>
      </c>
    </row>
    <row r="50" spans="2:9" ht="15" customHeight="1" x14ac:dyDescent="0.2">
      <c r="B50" t="s">
        <v>141</v>
      </c>
      <c r="C50" s="12">
        <v>18</v>
      </c>
      <c r="D50" s="8">
        <v>2.99</v>
      </c>
      <c r="E50" s="12">
        <v>12</v>
      </c>
      <c r="F50" s="8">
        <v>4.6900000000000004</v>
      </c>
      <c r="G50" s="12">
        <v>6</v>
      </c>
      <c r="H50" s="8">
        <v>1.78</v>
      </c>
      <c r="I50" s="12">
        <v>0</v>
      </c>
    </row>
    <row r="51" spans="2:9" ht="15" customHeight="1" x14ac:dyDescent="0.2">
      <c r="B51" t="s">
        <v>135</v>
      </c>
      <c r="C51" s="12">
        <v>17</v>
      </c>
      <c r="D51" s="8">
        <v>2.82</v>
      </c>
      <c r="E51" s="12">
        <v>1</v>
      </c>
      <c r="F51" s="8">
        <v>0.39</v>
      </c>
      <c r="G51" s="12">
        <v>16</v>
      </c>
      <c r="H51" s="8">
        <v>4.7300000000000004</v>
      </c>
      <c r="I51" s="12">
        <v>0</v>
      </c>
    </row>
    <row r="52" spans="2:9" ht="15" customHeight="1" x14ac:dyDescent="0.2">
      <c r="B52" t="s">
        <v>152</v>
      </c>
      <c r="C52" s="12">
        <v>17</v>
      </c>
      <c r="D52" s="8">
        <v>2.82</v>
      </c>
      <c r="E52" s="12">
        <v>13</v>
      </c>
      <c r="F52" s="8">
        <v>5.08</v>
      </c>
      <c r="G52" s="12">
        <v>4</v>
      </c>
      <c r="H52" s="8">
        <v>1.18</v>
      </c>
      <c r="I52" s="12">
        <v>0</v>
      </c>
    </row>
    <row r="53" spans="2:9" ht="15" customHeight="1" x14ac:dyDescent="0.2">
      <c r="B53" t="s">
        <v>140</v>
      </c>
      <c r="C53" s="12">
        <v>14</v>
      </c>
      <c r="D53" s="8">
        <v>2.33</v>
      </c>
      <c r="E53" s="12">
        <v>7</v>
      </c>
      <c r="F53" s="8">
        <v>2.73</v>
      </c>
      <c r="G53" s="12">
        <v>7</v>
      </c>
      <c r="H53" s="8">
        <v>2.0699999999999998</v>
      </c>
      <c r="I53" s="12">
        <v>0</v>
      </c>
    </row>
    <row r="54" spans="2:9" ht="15" customHeight="1" x14ac:dyDescent="0.2">
      <c r="B54" t="s">
        <v>148</v>
      </c>
      <c r="C54" s="12">
        <v>14</v>
      </c>
      <c r="D54" s="8">
        <v>2.33</v>
      </c>
      <c r="E54" s="12">
        <v>9</v>
      </c>
      <c r="F54" s="8">
        <v>3.52</v>
      </c>
      <c r="G54" s="12">
        <v>5</v>
      </c>
      <c r="H54" s="8">
        <v>1.48</v>
      </c>
      <c r="I54" s="12">
        <v>0</v>
      </c>
    </row>
    <row r="55" spans="2:9" ht="15" customHeight="1" x14ac:dyDescent="0.2">
      <c r="B55" t="s">
        <v>154</v>
      </c>
      <c r="C55" s="12">
        <v>14</v>
      </c>
      <c r="D55" s="8">
        <v>2.33</v>
      </c>
      <c r="E55" s="12">
        <v>10</v>
      </c>
      <c r="F55" s="8">
        <v>3.91</v>
      </c>
      <c r="G55" s="12">
        <v>4</v>
      </c>
      <c r="H55" s="8">
        <v>1.18</v>
      </c>
      <c r="I55" s="12">
        <v>0</v>
      </c>
    </row>
    <row r="56" spans="2:9" ht="15" customHeight="1" x14ac:dyDescent="0.2">
      <c r="B56" t="s">
        <v>149</v>
      </c>
      <c r="C56" s="12">
        <v>13</v>
      </c>
      <c r="D56" s="8">
        <v>2.16</v>
      </c>
      <c r="E56" s="12">
        <v>11</v>
      </c>
      <c r="F56" s="8">
        <v>4.3</v>
      </c>
      <c r="G56" s="12">
        <v>2</v>
      </c>
      <c r="H56" s="8">
        <v>0.59</v>
      </c>
      <c r="I56" s="12">
        <v>0</v>
      </c>
    </row>
    <row r="57" spans="2:9" ht="15" customHeight="1" x14ac:dyDescent="0.2">
      <c r="B57" t="s">
        <v>147</v>
      </c>
      <c r="C57" s="12">
        <v>12</v>
      </c>
      <c r="D57" s="8">
        <v>1.99</v>
      </c>
      <c r="E57" s="12">
        <v>7</v>
      </c>
      <c r="F57" s="8">
        <v>2.73</v>
      </c>
      <c r="G57" s="12">
        <v>5</v>
      </c>
      <c r="H57" s="8">
        <v>1.48</v>
      </c>
      <c r="I57" s="12">
        <v>0</v>
      </c>
    </row>
    <row r="58" spans="2:9" ht="15" customHeight="1" x14ac:dyDescent="0.2">
      <c r="B58" t="s">
        <v>136</v>
      </c>
      <c r="C58" s="12">
        <v>10</v>
      </c>
      <c r="D58" s="8">
        <v>1.66</v>
      </c>
      <c r="E58" s="12">
        <v>0</v>
      </c>
      <c r="F58" s="8">
        <v>0</v>
      </c>
      <c r="G58" s="12">
        <v>10</v>
      </c>
      <c r="H58" s="8">
        <v>2.96</v>
      </c>
      <c r="I58" s="12">
        <v>0</v>
      </c>
    </row>
    <row r="59" spans="2:9" ht="15" customHeight="1" x14ac:dyDescent="0.2">
      <c r="B59" t="s">
        <v>166</v>
      </c>
      <c r="C59" s="12">
        <v>10</v>
      </c>
      <c r="D59" s="8">
        <v>1.66</v>
      </c>
      <c r="E59" s="12">
        <v>7</v>
      </c>
      <c r="F59" s="8">
        <v>2.73</v>
      </c>
      <c r="G59" s="12">
        <v>3</v>
      </c>
      <c r="H59" s="8">
        <v>0.89</v>
      </c>
      <c r="I59" s="12">
        <v>0</v>
      </c>
    </row>
    <row r="60" spans="2:9" ht="15" customHeight="1" x14ac:dyDescent="0.2">
      <c r="B60" t="s">
        <v>143</v>
      </c>
      <c r="C60" s="12">
        <v>10</v>
      </c>
      <c r="D60" s="8">
        <v>1.66</v>
      </c>
      <c r="E60" s="12">
        <v>7</v>
      </c>
      <c r="F60" s="8">
        <v>2.73</v>
      </c>
      <c r="G60" s="12">
        <v>3</v>
      </c>
      <c r="H60" s="8">
        <v>0.89</v>
      </c>
      <c r="I60" s="12">
        <v>0</v>
      </c>
    </row>
    <row r="61" spans="2:9" ht="15" customHeight="1" x14ac:dyDescent="0.2">
      <c r="B61" t="s">
        <v>146</v>
      </c>
      <c r="C61" s="12">
        <v>10</v>
      </c>
      <c r="D61" s="8">
        <v>1.66</v>
      </c>
      <c r="E61" s="12">
        <v>0</v>
      </c>
      <c r="F61" s="8">
        <v>0</v>
      </c>
      <c r="G61" s="12">
        <v>10</v>
      </c>
      <c r="H61" s="8">
        <v>2.96</v>
      </c>
      <c r="I61" s="12">
        <v>0</v>
      </c>
    </row>
    <row r="62" spans="2:9" ht="15" customHeight="1" x14ac:dyDescent="0.2">
      <c r="B62" t="s">
        <v>163</v>
      </c>
      <c r="C62" s="12">
        <v>9</v>
      </c>
      <c r="D62" s="8">
        <v>1.5</v>
      </c>
      <c r="E62" s="12">
        <v>3</v>
      </c>
      <c r="F62" s="8">
        <v>1.17</v>
      </c>
      <c r="G62" s="12">
        <v>6</v>
      </c>
      <c r="H62" s="8">
        <v>1.78</v>
      </c>
      <c r="I62" s="12">
        <v>0</v>
      </c>
    </row>
    <row r="63" spans="2:9" ht="15" customHeight="1" x14ac:dyDescent="0.2">
      <c r="B63" t="s">
        <v>168</v>
      </c>
      <c r="C63" s="12">
        <v>9</v>
      </c>
      <c r="D63" s="8">
        <v>1.5</v>
      </c>
      <c r="E63" s="12">
        <v>2</v>
      </c>
      <c r="F63" s="8">
        <v>0.78</v>
      </c>
      <c r="G63" s="12">
        <v>7</v>
      </c>
      <c r="H63" s="8">
        <v>2.0699999999999998</v>
      </c>
      <c r="I63" s="12">
        <v>0</v>
      </c>
    </row>
    <row r="64" spans="2:9" ht="15" customHeight="1" x14ac:dyDescent="0.2">
      <c r="B64" t="s">
        <v>160</v>
      </c>
      <c r="C64" s="12">
        <v>8</v>
      </c>
      <c r="D64" s="8">
        <v>1.33</v>
      </c>
      <c r="E64" s="12">
        <v>5</v>
      </c>
      <c r="F64" s="8">
        <v>1.95</v>
      </c>
      <c r="G64" s="12">
        <v>3</v>
      </c>
      <c r="H64" s="8">
        <v>0.89</v>
      </c>
      <c r="I64" s="12">
        <v>0</v>
      </c>
    </row>
    <row r="65" spans="2:9" ht="15" customHeight="1" x14ac:dyDescent="0.2">
      <c r="B65" t="s">
        <v>153</v>
      </c>
      <c r="C65" s="12">
        <v>8</v>
      </c>
      <c r="D65" s="8">
        <v>1.33</v>
      </c>
      <c r="E65" s="12">
        <v>7</v>
      </c>
      <c r="F65" s="8">
        <v>2.73</v>
      </c>
      <c r="G65" s="12">
        <v>1</v>
      </c>
      <c r="H65" s="8">
        <v>0.3</v>
      </c>
      <c r="I65" s="12">
        <v>0</v>
      </c>
    </row>
    <row r="66" spans="2:9" ht="15" customHeight="1" x14ac:dyDescent="0.2">
      <c r="B66" t="s">
        <v>138</v>
      </c>
      <c r="C66" s="12">
        <v>7</v>
      </c>
      <c r="D66" s="8">
        <v>1.1599999999999999</v>
      </c>
      <c r="E66" s="12">
        <v>3</v>
      </c>
      <c r="F66" s="8">
        <v>1.17</v>
      </c>
      <c r="G66" s="12">
        <v>4</v>
      </c>
      <c r="H66" s="8">
        <v>1.18</v>
      </c>
      <c r="I66" s="12">
        <v>0</v>
      </c>
    </row>
    <row r="67" spans="2:9" ht="15" customHeight="1" x14ac:dyDescent="0.2">
      <c r="B67" t="s">
        <v>142</v>
      </c>
      <c r="C67" s="12">
        <v>7</v>
      </c>
      <c r="D67" s="8">
        <v>1.1599999999999999</v>
      </c>
      <c r="E67" s="12">
        <v>3</v>
      </c>
      <c r="F67" s="8">
        <v>1.17</v>
      </c>
      <c r="G67" s="12">
        <v>4</v>
      </c>
      <c r="H67" s="8">
        <v>1.18</v>
      </c>
      <c r="I67" s="12">
        <v>0</v>
      </c>
    </row>
    <row r="68" spans="2:9" ht="15" customHeight="1" x14ac:dyDescent="0.2">
      <c r="B68" t="s">
        <v>170</v>
      </c>
      <c r="C68" s="12">
        <v>7</v>
      </c>
      <c r="D68" s="8">
        <v>1.1599999999999999</v>
      </c>
      <c r="E68" s="12">
        <v>3</v>
      </c>
      <c r="F68" s="8">
        <v>1.17</v>
      </c>
      <c r="G68" s="12">
        <v>4</v>
      </c>
      <c r="H68" s="8">
        <v>1.18</v>
      </c>
      <c r="I68" s="12">
        <v>0</v>
      </c>
    </row>
    <row r="69" spans="2:9" ht="15" customHeight="1" x14ac:dyDescent="0.2">
      <c r="B69" t="s">
        <v>172</v>
      </c>
      <c r="C69" s="12">
        <v>7</v>
      </c>
      <c r="D69" s="8">
        <v>1.1599999999999999</v>
      </c>
      <c r="E69" s="12">
        <v>5</v>
      </c>
      <c r="F69" s="8">
        <v>1.95</v>
      </c>
      <c r="G69" s="12">
        <v>2</v>
      </c>
      <c r="H69" s="8">
        <v>0.59</v>
      </c>
      <c r="I69" s="12">
        <v>0</v>
      </c>
    </row>
    <row r="71" spans="2:9" ht="15" customHeight="1" x14ac:dyDescent="0.2">
      <c r="B71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66DE-C732-475A-B6D8-8FA197239CC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127</v>
      </c>
      <c r="D6" s="8">
        <v>16.45</v>
      </c>
      <c r="E6" s="12">
        <v>28</v>
      </c>
      <c r="F6" s="8">
        <v>8.89</v>
      </c>
      <c r="G6" s="12">
        <v>99</v>
      </c>
      <c r="H6" s="8">
        <v>21.9</v>
      </c>
      <c r="I6" s="12">
        <v>0</v>
      </c>
    </row>
    <row r="7" spans="2:9" ht="15" customHeight="1" x14ac:dyDescent="0.2">
      <c r="B7" t="s">
        <v>53</v>
      </c>
      <c r="C7" s="12">
        <v>24</v>
      </c>
      <c r="D7" s="8">
        <v>3.11</v>
      </c>
      <c r="E7" s="12">
        <v>4</v>
      </c>
      <c r="F7" s="8">
        <v>1.27</v>
      </c>
      <c r="G7" s="12">
        <v>20</v>
      </c>
      <c r="H7" s="8">
        <v>4.42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0.39</v>
      </c>
      <c r="E9" s="12">
        <v>0</v>
      </c>
      <c r="F9" s="8">
        <v>0</v>
      </c>
      <c r="G9" s="12">
        <v>3</v>
      </c>
      <c r="H9" s="8">
        <v>0.66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0.52</v>
      </c>
      <c r="E10" s="12">
        <v>1</v>
      </c>
      <c r="F10" s="8">
        <v>0.32</v>
      </c>
      <c r="G10" s="12">
        <v>3</v>
      </c>
      <c r="H10" s="8">
        <v>0.66</v>
      </c>
      <c r="I10" s="12">
        <v>0</v>
      </c>
    </row>
    <row r="11" spans="2:9" ht="15" customHeight="1" x14ac:dyDescent="0.2">
      <c r="B11" t="s">
        <v>57</v>
      </c>
      <c r="C11" s="12">
        <v>223</v>
      </c>
      <c r="D11" s="8">
        <v>28.89</v>
      </c>
      <c r="E11" s="12">
        <v>70</v>
      </c>
      <c r="F11" s="8">
        <v>22.22</v>
      </c>
      <c r="G11" s="12">
        <v>153</v>
      </c>
      <c r="H11" s="8">
        <v>33.85</v>
      </c>
      <c r="I11" s="12">
        <v>0</v>
      </c>
    </row>
    <row r="12" spans="2:9" ht="15" customHeight="1" x14ac:dyDescent="0.2">
      <c r="B12" t="s">
        <v>58</v>
      </c>
      <c r="C12" s="12">
        <v>6</v>
      </c>
      <c r="D12" s="8">
        <v>0.78</v>
      </c>
      <c r="E12" s="12">
        <v>1</v>
      </c>
      <c r="F12" s="8">
        <v>0.32</v>
      </c>
      <c r="G12" s="12">
        <v>5</v>
      </c>
      <c r="H12" s="8">
        <v>1.1100000000000001</v>
      </c>
      <c r="I12" s="12">
        <v>0</v>
      </c>
    </row>
    <row r="13" spans="2:9" ht="15" customHeight="1" x14ac:dyDescent="0.2">
      <c r="B13" t="s">
        <v>59</v>
      </c>
      <c r="C13" s="12">
        <v>52</v>
      </c>
      <c r="D13" s="8">
        <v>6.74</v>
      </c>
      <c r="E13" s="12">
        <v>10</v>
      </c>
      <c r="F13" s="8">
        <v>3.17</v>
      </c>
      <c r="G13" s="12">
        <v>42</v>
      </c>
      <c r="H13" s="8">
        <v>9.2899999999999991</v>
      </c>
      <c r="I13" s="12">
        <v>0</v>
      </c>
    </row>
    <row r="14" spans="2:9" ht="15" customHeight="1" x14ac:dyDescent="0.2">
      <c r="B14" t="s">
        <v>60</v>
      </c>
      <c r="C14" s="12">
        <v>42</v>
      </c>
      <c r="D14" s="8">
        <v>5.44</v>
      </c>
      <c r="E14" s="12">
        <v>20</v>
      </c>
      <c r="F14" s="8">
        <v>6.35</v>
      </c>
      <c r="G14" s="12">
        <v>22</v>
      </c>
      <c r="H14" s="8">
        <v>4.87</v>
      </c>
      <c r="I14" s="12">
        <v>0</v>
      </c>
    </row>
    <row r="15" spans="2:9" ht="15" customHeight="1" x14ac:dyDescent="0.2">
      <c r="B15" t="s">
        <v>61</v>
      </c>
      <c r="C15" s="12">
        <v>63</v>
      </c>
      <c r="D15" s="8">
        <v>8.16</v>
      </c>
      <c r="E15" s="12">
        <v>46</v>
      </c>
      <c r="F15" s="8">
        <v>14.6</v>
      </c>
      <c r="G15" s="12">
        <v>17</v>
      </c>
      <c r="H15" s="8">
        <v>3.76</v>
      </c>
      <c r="I15" s="12">
        <v>0</v>
      </c>
    </row>
    <row r="16" spans="2:9" ht="15" customHeight="1" x14ac:dyDescent="0.2">
      <c r="B16" t="s">
        <v>62</v>
      </c>
      <c r="C16" s="12">
        <v>108</v>
      </c>
      <c r="D16" s="8">
        <v>13.99</v>
      </c>
      <c r="E16" s="12">
        <v>69</v>
      </c>
      <c r="F16" s="8">
        <v>21.9</v>
      </c>
      <c r="G16" s="12">
        <v>39</v>
      </c>
      <c r="H16" s="8">
        <v>8.6300000000000008</v>
      </c>
      <c r="I16" s="12">
        <v>0</v>
      </c>
    </row>
    <row r="17" spans="2:9" ht="15" customHeight="1" x14ac:dyDescent="0.2">
      <c r="B17" t="s">
        <v>63</v>
      </c>
      <c r="C17" s="12">
        <v>33</v>
      </c>
      <c r="D17" s="8">
        <v>4.2699999999999996</v>
      </c>
      <c r="E17" s="12">
        <v>23</v>
      </c>
      <c r="F17" s="8">
        <v>7.3</v>
      </c>
      <c r="G17" s="12">
        <v>9</v>
      </c>
      <c r="H17" s="8">
        <v>1.99</v>
      </c>
      <c r="I17" s="12">
        <v>0</v>
      </c>
    </row>
    <row r="18" spans="2:9" ht="15" customHeight="1" x14ac:dyDescent="0.2">
      <c r="B18" t="s">
        <v>64</v>
      </c>
      <c r="C18" s="12">
        <v>49</v>
      </c>
      <c r="D18" s="8">
        <v>6.35</v>
      </c>
      <c r="E18" s="12">
        <v>27</v>
      </c>
      <c r="F18" s="8">
        <v>8.57</v>
      </c>
      <c r="G18" s="12">
        <v>22</v>
      </c>
      <c r="H18" s="8">
        <v>4.87</v>
      </c>
      <c r="I18" s="12">
        <v>0</v>
      </c>
    </row>
    <row r="19" spans="2:9" ht="15" customHeight="1" x14ac:dyDescent="0.2">
      <c r="B19" t="s">
        <v>65</v>
      </c>
      <c r="C19" s="12">
        <v>37</v>
      </c>
      <c r="D19" s="8">
        <v>4.79</v>
      </c>
      <c r="E19" s="12">
        <v>16</v>
      </c>
      <c r="F19" s="8">
        <v>5.08</v>
      </c>
      <c r="G19" s="12">
        <v>17</v>
      </c>
      <c r="H19" s="8">
        <v>3.76</v>
      </c>
      <c r="I19" s="12">
        <v>0</v>
      </c>
    </row>
    <row r="20" spans="2:9" ht="15" customHeight="1" x14ac:dyDescent="0.2">
      <c r="B20" s="9" t="s">
        <v>281</v>
      </c>
      <c r="C20" s="12">
        <f>SUM(LTBL_43404[総数／事業所数])</f>
        <v>772</v>
      </c>
      <c r="E20" s="12">
        <f>SUBTOTAL(109,LTBL_43404[個人／事業所数])</f>
        <v>315</v>
      </c>
      <c r="G20" s="12">
        <f>SUBTOTAL(109,LTBL_43404[法人／事業所数])</f>
        <v>452</v>
      </c>
      <c r="I20" s="12">
        <f>SUBTOTAL(109,LTBL_43404[法人以外の団体／事業所数])</f>
        <v>0</v>
      </c>
    </row>
    <row r="21" spans="2:9" ht="15" customHeight="1" x14ac:dyDescent="0.2">
      <c r="E21" s="11">
        <f>LTBL_43404[[#Totals],[個人／事業所数]]/LTBL_43404[[#Totals],[総数／事業所数]]</f>
        <v>0.40803108808290156</v>
      </c>
      <c r="G21" s="11">
        <f>LTBL_43404[[#Totals],[法人／事業所数]]/LTBL_43404[[#Totals],[総数／事業所数]]</f>
        <v>0.58549222797927458</v>
      </c>
      <c r="I21" s="11">
        <f>LTBL_43404[[#Totals],[法人以外の団体／事業所数]]/LTBL_43404[[#Totals],[総数／事業所数]]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94</v>
      </c>
      <c r="D24" s="8">
        <v>12.18</v>
      </c>
      <c r="E24" s="12">
        <v>65</v>
      </c>
      <c r="F24" s="8">
        <v>20.63</v>
      </c>
      <c r="G24" s="12">
        <v>29</v>
      </c>
      <c r="H24" s="8">
        <v>6.42</v>
      </c>
      <c r="I24" s="12">
        <v>0</v>
      </c>
    </row>
    <row r="25" spans="2:9" ht="15" customHeight="1" x14ac:dyDescent="0.2">
      <c r="B25" t="s">
        <v>83</v>
      </c>
      <c r="C25" s="12">
        <v>59</v>
      </c>
      <c r="D25" s="8">
        <v>7.64</v>
      </c>
      <c r="E25" s="12">
        <v>22</v>
      </c>
      <c r="F25" s="8">
        <v>6.98</v>
      </c>
      <c r="G25" s="12">
        <v>37</v>
      </c>
      <c r="H25" s="8">
        <v>8.19</v>
      </c>
      <c r="I25" s="12">
        <v>0</v>
      </c>
    </row>
    <row r="26" spans="2:9" ht="15" customHeight="1" x14ac:dyDescent="0.2">
      <c r="B26" t="s">
        <v>88</v>
      </c>
      <c r="C26" s="12">
        <v>54</v>
      </c>
      <c r="D26" s="8">
        <v>6.99</v>
      </c>
      <c r="E26" s="12">
        <v>39</v>
      </c>
      <c r="F26" s="8">
        <v>12.38</v>
      </c>
      <c r="G26" s="12">
        <v>15</v>
      </c>
      <c r="H26" s="8">
        <v>3.32</v>
      </c>
      <c r="I26" s="12">
        <v>0</v>
      </c>
    </row>
    <row r="27" spans="2:9" ht="15" customHeight="1" x14ac:dyDescent="0.2">
      <c r="B27" t="s">
        <v>74</v>
      </c>
      <c r="C27" s="12">
        <v>47</v>
      </c>
      <c r="D27" s="8">
        <v>6.09</v>
      </c>
      <c r="E27" s="12">
        <v>9</v>
      </c>
      <c r="F27" s="8">
        <v>2.86</v>
      </c>
      <c r="G27" s="12">
        <v>38</v>
      </c>
      <c r="H27" s="8">
        <v>8.41</v>
      </c>
      <c r="I27" s="12">
        <v>0</v>
      </c>
    </row>
    <row r="28" spans="2:9" ht="15" customHeight="1" x14ac:dyDescent="0.2">
      <c r="B28" t="s">
        <v>75</v>
      </c>
      <c r="C28" s="12">
        <v>45</v>
      </c>
      <c r="D28" s="8">
        <v>5.83</v>
      </c>
      <c r="E28" s="12">
        <v>13</v>
      </c>
      <c r="F28" s="8">
        <v>4.13</v>
      </c>
      <c r="G28" s="12">
        <v>32</v>
      </c>
      <c r="H28" s="8">
        <v>7.08</v>
      </c>
      <c r="I28" s="12">
        <v>0</v>
      </c>
    </row>
    <row r="29" spans="2:9" ht="15" customHeight="1" x14ac:dyDescent="0.2">
      <c r="B29" t="s">
        <v>80</v>
      </c>
      <c r="C29" s="12">
        <v>40</v>
      </c>
      <c r="D29" s="8">
        <v>5.18</v>
      </c>
      <c r="E29" s="12">
        <v>4</v>
      </c>
      <c r="F29" s="8">
        <v>1.27</v>
      </c>
      <c r="G29" s="12">
        <v>36</v>
      </c>
      <c r="H29" s="8">
        <v>7.96</v>
      </c>
      <c r="I29" s="12">
        <v>0</v>
      </c>
    </row>
    <row r="30" spans="2:9" ht="15" customHeight="1" x14ac:dyDescent="0.2">
      <c r="B30" t="s">
        <v>76</v>
      </c>
      <c r="C30" s="12">
        <v>35</v>
      </c>
      <c r="D30" s="8">
        <v>4.53</v>
      </c>
      <c r="E30" s="12">
        <v>6</v>
      </c>
      <c r="F30" s="8">
        <v>1.9</v>
      </c>
      <c r="G30" s="12">
        <v>29</v>
      </c>
      <c r="H30" s="8">
        <v>6.42</v>
      </c>
      <c r="I30" s="12">
        <v>0</v>
      </c>
    </row>
    <row r="31" spans="2:9" ht="15" customHeight="1" x14ac:dyDescent="0.2">
      <c r="B31" t="s">
        <v>82</v>
      </c>
      <c r="C31" s="12">
        <v>33</v>
      </c>
      <c r="D31" s="8">
        <v>4.2699999999999996</v>
      </c>
      <c r="E31" s="12">
        <v>17</v>
      </c>
      <c r="F31" s="8">
        <v>5.4</v>
      </c>
      <c r="G31" s="12">
        <v>16</v>
      </c>
      <c r="H31" s="8">
        <v>3.54</v>
      </c>
      <c r="I31" s="12">
        <v>0</v>
      </c>
    </row>
    <row r="32" spans="2:9" ht="15" customHeight="1" x14ac:dyDescent="0.2">
      <c r="B32" t="s">
        <v>90</v>
      </c>
      <c r="C32" s="12">
        <v>33</v>
      </c>
      <c r="D32" s="8">
        <v>4.2699999999999996</v>
      </c>
      <c r="E32" s="12">
        <v>23</v>
      </c>
      <c r="F32" s="8">
        <v>7.3</v>
      </c>
      <c r="G32" s="12">
        <v>9</v>
      </c>
      <c r="H32" s="8">
        <v>1.99</v>
      </c>
      <c r="I32" s="12">
        <v>0</v>
      </c>
    </row>
    <row r="33" spans="2:9" ht="15" customHeight="1" x14ac:dyDescent="0.2">
      <c r="B33" t="s">
        <v>85</v>
      </c>
      <c r="C33" s="12">
        <v>32</v>
      </c>
      <c r="D33" s="8">
        <v>4.1500000000000004</v>
      </c>
      <c r="E33" s="12">
        <v>4</v>
      </c>
      <c r="F33" s="8">
        <v>1.27</v>
      </c>
      <c r="G33" s="12">
        <v>28</v>
      </c>
      <c r="H33" s="8">
        <v>6.19</v>
      </c>
      <c r="I33" s="12">
        <v>0</v>
      </c>
    </row>
    <row r="34" spans="2:9" ht="15" customHeight="1" x14ac:dyDescent="0.2">
      <c r="B34" t="s">
        <v>91</v>
      </c>
      <c r="C34" s="12">
        <v>32</v>
      </c>
      <c r="D34" s="8">
        <v>4.1500000000000004</v>
      </c>
      <c r="E34" s="12">
        <v>27</v>
      </c>
      <c r="F34" s="8">
        <v>8.57</v>
      </c>
      <c r="G34" s="12">
        <v>5</v>
      </c>
      <c r="H34" s="8">
        <v>1.1100000000000001</v>
      </c>
      <c r="I34" s="12">
        <v>0</v>
      </c>
    </row>
    <row r="35" spans="2:9" ht="15" customHeight="1" x14ac:dyDescent="0.2">
      <c r="B35" t="s">
        <v>81</v>
      </c>
      <c r="C35" s="12">
        <v>30</v>
      </c>
      <c r="D35" s="8">
        <v>3.89</v>
      </c>
      <c r="E35" s="12">
        <v>19</v>
      </c>
      <c r="F35" s="8">
        <v>6.03</v>
      </c>
      <c r="G35" s="12">
        <v>11</v>
      </c>
      <c r="H35" s="8">
        <v>2.4300000000000002</v>
      </c>
      <c r="I35" s="12">
        <v>0</v>
      </c>
    </row>
    <row r="36" spans="2:9" ht="15" customHeight="1" x14ac:dyDescent="0.2">
      <c r="B36" t="s">
        <v>86</v>
      </c>
      <c r="C36" s="12">
        <v>24</v>
      </c>
      <c r="D36" s="8">
        <v>3.11</v>
      </c>
      <c r="E36" s="12">
        <v>14</v>
      </c>
      <c r="F36" s="8">
        <v>4.4400000000000004</v>
      </c>
      <c r="G36" s="12">
        <v>10</v>
      </c>
      <c r="H36" s="8">
        <v>2.21</v>
      </c>
      <c r="I36" s="12">
        <v>0</v>
      </c>
    </row>
    <row r="37" spans="2:9" ht="15" customHeight="1" x14ac:dyDescent="0.2">
      <c r="B37" t="s">
        <v>79</v>
      </c>
      <c r="C37" s="12">
        <v>23</v>
      </c>
      <c r="D37" s="8">
        <v>2.98</v>
      </c>
      <c r="E37" s="12">
        <v>0</v>
      </c>
      <c r="F37" s="8">
        <v>0</v>
      </c>
      <c r="G37" s="12">
        <v>23</v>
      </c>
      <c r="H37" s="8">
        <v>5.09</v>
      </c>
      <c r="I37" s="12">
        <v>0</v>
      </c>
    </row>
    <row r="38" spans="2:9" ht="15" customHeight="1" x14ac:dyDescent="0.2">
      <c r="B38" t="s">
        <v>87</v>
      </c>
      <c r="C38" s="12">
        <v>18</v>
      </c>
      <c r="D38" s="8">
        <v>2.33</v>
      </c>
      <c r="E38" s="12">
        <v>6</v>
      </c>
      <c r="F38" s="8">
        <v>1.9</v>
      </c>
      <c r="G38" s="12">
        <v>12</v>
      </c>
      <c r="H38" s="8">
        <v>2.65</v>
      </c>
      <c r="I38" s="12">
        <v>0</v>
      </c>
    </row>
    <row r="39" spans="2:9" ht="15" customHeight="1" x14ac:dyDescent="0.2">
      <c r="B39" t="s">
        <v>94</v>
      </c>
      <c r="C39" s="12">
        <v>17</v>
      </c>
      <c r="D39" s="8">
        <v>2.2000000000000002</v>
      </c>
      <c r="E39" s="12">
        <v>5</v>
      </c>
      <c r="F39" s="8">
        <v>1.59</v>
      </c>
      <c r="G39" s="12">
        <v>12</v>
      </c>
      <c r="H39" s="8">
        <v>2.65</v>
      </c>
      <c r="I39" s="12">
        <v>0</v>
      </c>
    </row>
    <row r="40" spans="2:9" ht="15" customHeight="1" x14ac:dyDescent="0.2">
      <c r="B40" t="s">
        <v>84</v>
      </c>
      <c r="C40" s="12">
        <v>17</v>
      </c>
      <c r="D40" s="8">
        <v>2.2000000000000002</v>
      </c>
      <c r="E40" s="12">
        <v>5</v>
      </c>
      <c r="F40" s="8">
        <v>1.59</v>
      </c>
      <c r="G40" s="12">
        <v>12</v>
      </c>
      <c r="H40" s="8">
        <v>2.65</v>
      </c>
      <c r="I40" s="12">
        <v>0</v>
      </c>
    </row>
    <row r="41" spans="2:9" ht="15" customHeight="1" x14ac:dyDescent="0.2">
      <c r="B41" t="s">
        <v>92</v>
      </c>
      <c r="C41" s="12">
        <v>17</v>
      </c>
      <c r="D41" s="8">
        <v>2.2000000000000002</v>
      </c>
      <c r="E41" s="12">
        <v>0</v>
      </c>
      <c r="F41" s="8">
        <v>0</v>
      </c>
      <c r="G41" s="12">
        <v>17</v>
      </c>
      <c r="H41" s="8">
        <v>3.76</v>
      </c>
      <c r="I41" s="12">
        <v>0</v>
      </c>
    </row>
    <row r="42" spans="2:9" ht="15" customHeight="1" x14ac:dyDescent="0.2">
      <c r="B42" t="s">
        <v>93</v>
      </c>
      <c r="C42" s="12">
        <v>16</v>
      </c>
      <c r="D42" s="8">
        <v>2.0699999999999998</v>
      </c>
      <c r="E42" s="12">
        <v>12</v>
      </c>
      <c r="F42" s="8">
        <v>3.81</v>
      </c>
      <c r="G42" s="12">
        <v>4</v>
      </c>
      <c r="H42" s="8">
        <v>0.88</v>
      </c>
      <c r="I42" s="12">
        <v>0</v>
      </c>
    </row>
    <row r="43" spans="2:9" ht="15" customHeight="1" x14ac:dyDescent="0.2">
      <c r="B43" t="s">
        <v>99</v>
      </c>
      <c r="C43" s="12">
        <v>10</v>
      </c>
      <c r="D43" s="8">
        <v>1.3</v>
      </c>
      <c r="E43" s="12">
        <v>0</v>
      </c>
      <c r="F43" s="8">
        <v>0</v>
      </c>
      <c r="G43" s="12">
        <v>10</v>
      </c>
      <c r="H43" s="8">
        <v>2.21</v>
      </c>
      <c r="I43" s="12">
        <v>0</v>
      </c>
    </row>
    <row r="44" spans="2:9" ht="15" customHeight="1" x14ac:dyDescent="0.2">
      <c r="B44" t="s">
        <v>97</v>
      </c>
      <c r="C44" s="12">
        <v>10</v>
      </c>
      <c r="D44" s="8">
        <v>1.3</v>
      </c>
      <c r="E44" s="12">
        <v>3</v>
      </c>
      <c r="F44" s="8">
        <v>0.95</v>
      </c>
      <c r="G44" s="12">
        <v>7</v>
      </c>
      <c r="H44" s="8">
        <v>1.55</v>
      </c>
      <c r="I44" s="12">
        <v>0</v>
      </c>
    </row>
    <row r="47" spans="2:9" ht="33" customHeight="1" x14ac:dyDescent="0.2">
      <c r="B47" t="s">
        <v>283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151</v>
      </c>
      <c r="C48" s="12">
        <v>43</v>
      </c>
      <c r="D48" s="8">
        <v>5.57</v>
      </c>
      <c r="E48" s="12">
        <v>37</v>
      </c>
      <c r="F48" s="8">
        <v>11.75</v>
      </c>
      <c r="G48" s="12">
        <v>6</v>
      </c>
      <c r="H48" s="8">
        <v>1.33</v>
      </c>
      <c r="I48" s="12">
        <v>0</v>
      </c>
    </row>
    <row r="49" spans="2:9" ht="15" customHeight="1" x14ac:dyDescent="0.2">
      <c r="B49" t="s">
        <v>141</v>
      </c>
      <c r="C49" s="12">
        <v>29</v>
      </c>
      <c r="D49" s="8">
        <v>3.76</v>
      </c>
      <c r="E49" s="12">
        <v>15</v>
      </c>
      <c r="F49" s="8">
        <v>4.76</v>
      </c>
      <c r="G49" s="12">
        <v>14</v>
      </c>
      <c r="H49" s="8">
        <v>3.1</v>
      </c>
      <c r="I49" s="12">
        <v>0</v>
      </c>
    </row>
    <row r="50" spans="2:9" ht="15" customHeight="1" x14ac:dyDescent="0.2">
      <c r="B50" t="s">
        <v>153</v>
      </c>
      <c r="C50" s="12">
        <v>24</v>
      </c>
      <c r="D50" s="8">
        <v>3.11</v>
      </c>
      <c r="E50" s="12">
        <v>20</v>
      </c>
      <c r="F50" s="8">
        <v>6.35</v>
      </c>
      <c r="G50" s="12">
        <v>4</v>
      </c>
      <c r="H50" s="8">
        <v>0.88</v>
      </c>
      <c r="I50" s="12">
        <v>0</v>
      </c>
    </row>
    <row r="51" spans="2:9" ht="15" customHeight="1" x14ac:dyDescent="0.2">
      <c r="B51" t="s">
        <v>150</v>
      </c>
      <c r="C51" s="12">
        <v>23</v>
      </c>
      <c r="D51" s="8">
        <v>2.98</v>
      </c>
      <c r="E51" s="12">
        <v>18</v>
      </c>
      <c r="F51" s="8">
        <v>5.71</v>
      </c>
      <c r="G51" s="12">
        <v>5</v>
      </c>
      <c r="H51" s="8">
        <v>1.1100000000000001</v>
      </c>
      <c r="I51" s="12">
        <v>0</v>
      </c>
    </row>
    <row r="52" spans="2:9" ht="15" customHeight="1" x14ac:dyDescent="0.2">
      <c r="B52" t="s">
        <v>152</v>
      </c>
      <c r="C52" s="12">
        <v>20</v>
      </c>
      <c r="D52" s="8">
        <v>2.59</v>
      </c>
      <c r="E52" s="12">
        <v>13</v>
      </c>
      <c r="F52" s="8">
        <v>4.13</v>
      </c>
      <c r="G52" s="12">
        <v>7</v>
      </c>
      <c r="H52" s="8">
        <v>1.55</v>
      </c>
      <c r="I52" s="12">
        <v>0</v>
      </c>
    </row>
    <row r="53" spans="2:9" ht="15" customHeight="1" x14ac:dyDescent="0.2">
      <c r="B53" t="s">
        <v>139</v>
      </c>
      <c r="C53" s="12">
        <v>19</v>
      </c>
      <c r="D53" s="8">
        <v>2.46</v>
      </c>
      <c r="E53" s="12">
        <v>3</v>
      </c>
      <c r="F53" s="8">
        <v>0.95</v>
      </c>
      <c r="G53" s="12">
        <v>16</v>
      </c>
      <c r="H53" s="8">
        <v>3.54</v>
      </c>
      <c r="I53" s="12">
        <v>0</v>
      </c>
    </row>
    <row r="54" spans="2:9" ht="15" customHeight="1" x14ac:dyDescent="0.2">
      <c r="B54" t="s">
        <v>143</v>
      </c>
      <c r="C54" s="12">
        <v>18</v>
      </c>
      <c r="D54" s="8">
        <v>2.33</v>
      </c>
      <c r="E54" s="12">
        <v>9</v>
      </c>
      <c r="F54" s="8">
        <v>2.86</v>
      </c>
      <c r="G54" s="12">
        <v>9</v>
      </c>
      <c r="H54" s="8">
        <v>1.99</v>
      </c>
      <c r="I54" s="12">
        <v>0</v>
      </c>
    </row>
    <row r="55" spans="2:9" ht="15" customHeight="1" x14ac:dyDescent="0.2">
      <c r="B55" t="s">
        <v>163</v>
      </c>
      <c r="C55" s="12">
        <v>17</v>
      </c>
      <c r="D55" s="8">
        <v>2.2000000000000002</v>
      </c>
      <c r="E55" s="12">
        <v>4</v>
      </c>
      <c r="F55" s="8">
        <v>1.27</v>
      </c>
      <c r="G55" s="12">
        <v>13</v>
      </c>
      <c r="H55" s="8">
        <v>2.88</v>
      </c>
      <c r="I55" s="12">
        <v>0</v>
      </c>
    </row>
    <row r="56" spans="2:9" ht="15" customHeight="1" x14ac:dyDescent="0.2">
      <c r="B56" t="s">
        <v>147</v>
      </c>
      <c r="C56" s="12">
        <v>17</v>
      </c>
      <c r="D56" s="8">
        <v>2.2000000000000002</v>
      </c>
      <c r="E56" s="12">
        <v>12</v>
      </c>
      <c r="F56" s="8">
        <v>3.81</v>
      </c>
      <c r="G56" s="12">
        <v>5</v>
      </c>
      <c r="H56" s="8">
        <v>1.1100000000000001</v>
      </c>
      <c r="I56" s="12">
        <v>0</v>
      </c>
    </row>
    <row r="57" spans="2:9" ht="15" customHeight="1" x14ac:dyDescent="0.2">
      <c r="B57" t="s">
        <v>161</v>
      </c>
      <c r="C57" s="12">
        <v>17</v>
      </c>
      <c r="D57" s="8">
        <v>2.2000000000000002</v>
      </c>
      <c r="E57" s="12">
        <v>7</v>
      </c>
      <c r="F57" s="8">
        <v>2.2200000000000002</v>
      </c>
      <c r="G57" s="12">
        <v>10</v>
      </c>
      <c r="H57" s="8">
        <v>2.21</v>
      </c>
      <c r="I57" s="12">
        <v>0</v>
      </c>
    </row>
    <row r="58" spans="2:9" ht="15" customHeight="1" x14ac:dyDescent="0.2">
      <c r="B58" t="s">
        <v>145</v>
      </c>
      <c r="C58" s="12">
        <v>16</v>
      </c>
      <c r="D58" s="8">
        <v>2.0699999999999998</v>
      </c>
      <c r="E58" s="12">
        <v>3</v>
      </c>
      <c r="F58" s="8">
        <v>0.95</v>
      </c>
      <c r="G58" s="12">
        <v>13</v>
      </c>
      <c r="H58" s="8">
        <v>2.88</v>
      </c>
      <c r="I58" s="12">
        <v>0</v>
      </c>
    </row>
    <row r="59" spans="2:9" ht="15" customHeight="1" x14ac:dyDescent="0.2">
      <c r="B59" t="s">
        <v>154</v>
      </c>
      <c r="C59" s="12">
        <v>16</v>
      </c>
      <c r="D59" s="8">
        <v>2.0699999999999998</v>
      </c>
      <c r="E59" s="12">
        <v>12</v>
      </c>
      <c r="F59" s="8">
        <v>3.81</v>
      </c>
      <c r="G59" s="12">
        <v>4</v>
      </c>
      <c r="H59" s="8">
        <v>0.88</v>
      </c>
      <c r="I59" s="12">
        <v>0</v>
      </c>
    </row>
    <row r="60" spans="2:9" ht="15" customHeight="1" x14ac:dyDescent="0.2">
      <c r="B60" t="s">
        <v>136</v>
      </c>
      <c r="C60" s="12">
        <v>15</v>
      </c>
      <c r="D60" s="8">
        <v>1.94</v>
      </c>
      <c r="E60" s="12">
        <v>1</v>
      </c>
      <c r="F60" s="8">
        <v>0.32</v>
      </c>
      <c r="G60" s="12">
        <v>14</v>
      </c>
      <c r="H60" s="8">
        <v>3.1</v>
      </c>
      <c r="I60" s="12">
        <v>0</v>
      </c>
    </row>
    <row r="61" spans="2:9" ht="15" customHeight="1" x14ac:dyDescent="0.2">
      <c r="B61" t="s">
        <v>142</v>
      </c>
      <c r="C61" s="12">
        <v>15</v>
      </c>
      <c r="D61" s="8">
        <v>1.94</v>
      </c>
      <c r="E61" s="12">
        <v>4</v>
      </c>
      <c r="F61" s="8">
        <v>1.27</v>
      </c>
      <c r="G61" s="12">
        <v>11</v>
      </c>
      <c r="H61" s="8">
        <v>2.4300000000000002</v>
      </c>
      <c r="I61" s="12">
        <v>0</v>
      </c>
    </row>
    <row r="62" spans="2:9" ht="15" customHeight="1" x14ac:dyDescent="0.2">
      <c r="B62" t="s">
        <v>135</v>
      </c>
      <c r="C62" s="12">
        <v>13</v>
      </c>
      <c r="D62" s="8">
        <v>1.68</v>
      </c>
      <c r="E62" s="12">
        <v>1</v>
      </c>
      <c r="F62" s="8">
        <v>0.32</v>
      </c>
      <c r="G62" s="12">
        <v>12</v>
      </c>
      <c r="H62" s="8">
        <v>2.65</v>
      </c>
      <c r="I62" s="12">
        <v>0</v>
      </c>
    </row>
    <row r="63" spans="2:9" ht="15" customHeight="1" x14ac:dyDescent="0.2">
      <c r="B63" t="s">
        <v>138</v>
      </c>
      <c r="C63" s="12">
        <v>13</v>
      </c>
      <c r="D63" s="8">
        <v>1.68</v>
      </c>
      <c r="E63" s="12">
        <v>2</v>
      </c>
      <c r="F63" s="8">
        <v>0.63</v>
      </c>
      <c r="G63" s="12">
        <v>11</v>
      </c>
      <c r="H63" s="8">
        <v>2.4300000000000002</v>
      </c>
      <c r="I63" s="12">
        <v>0</v>
      </c>
    </row>
    <row r="64" spans="2:9" ht="15" customHeight="1" x14ac:dyDescent="0.2">
      <c r="B64" t="s">
        <v>216</v>
      </c>
      <c r="C64" s="12">
        <v>13</v>
      </c>
      <c r="D64" s="8">
        <v>1.68</v>
      </c>
      <c r="E64" s="12">
        <v>0</v>
      </c>
      <c r="F64" s="8">
        <v>0</v>
      </c>
      <c r="G64" s="12">
        <v>13</v>
      </c>
      <c r="H64" s="8">
        <v>2.88</v>
      </c>
      <c r="I64" s="12">
        <v>0</v>
      </c>
    </row>
    <row r="65" spans="2:9" ht="15" customHeight="1" x14ac:dyDescent="0.2">
      <c r="B65" t="s">
        <v>200</v>
      </c>
      <c r="C65" s="12">
        <v>12</v>
      </c>
      <c r="D65" s="8">
        <v>1.55</v>
      </c>
      <c r="E65" s="12">
        <v>3</v>
      </c>
      <c r="F65" s="8">
        <v>0.95</v>
      </c>
      <c r="G65" s="12">
        <v>9</v>
      </c>
      <c r="H65" s="8">
        <v>1.99</v>
      </c>
      <c r="I65" s="12">
        <v>0</v>
      </c>
    </row>
    <row r="66" spans="2:9" ht="15" customHeight="1" x14ac:dyDescent="0.2">
      <c r="B66" t="s">
        <v>219</v>
      </c>
      <c r="C66" s="12">
        <v>12</v>
      </c>
      <c r="D66" s="8">
        <v>1.55</v>
      </c>
      <c r="E66" s="12">
        <v>1</v>
      </c>
      <c r="F66" s="8">
        <v>0.32</v>
      </c>
      <c r="G66" s="12">
        <v>11</v>
      </c>
      <c r="H66" s="8">
        <v>2.4300000000000002</v>
      </c>
      <c r="I66" s="12">
        <v>0</v>
      </c>
    </row>
    <row r="67" spans="2:9" ht="15" customHeight="1" x14ac:dyDescent="0.2">
      <c r="B67" t="s">
        <v>140</v>
      </c>
      <c r="C67" s="12">
        <v>12</v>
      </c>
      <c r="D67" s="8">
        <v>1.55</v>
      </c>
      <c r="E67" s="12">
        <v>9</v>
      </c>
      <c r="F67" s="8">
        <v>2.86</v>
      </c>
      <c r="G67" s="12">
        <v>3</v>
      </c>
      <c r="H67" s="8">
        <v>0.66</v>
      </c>
      <c r="I67" s="12">
        <v>0</v>
      </c>
    </row>
    <row r="68" spans="2:9" ht="15" customHeight="1" x14ac:dyDescent="0.2">
      <c r="B68" t="s">
        <v>155</v>
      </c>
      <c r="C68" s="12">
        <v>12</v>
      </c>
      <c r="D68" s="8">
        <v>1.55</v>
      </c>
      <c r="E68" s="12">
        <v>3</v>
      </c>
      <c r="F68" s="8">
        <v>0.95</v>
      </c>
      <c r="G68" s="12">
        <v>9</v>
      </c>
      <c r="H68" s="8">
        <v>1.99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DB53-B196-4FAB-B77B-5144506592B2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29</v>
      </c>
      <c r="D6" s="8">
        <v>17.79</v>
      </c>
      <c r="E6" s="12">
        <v>18</v>
      </c>
      <c r="F6" s="8">
        <v>19.57</v>
      </c>
      <c r="G6" s="12">
        <v>11</v>
      </c>
      <c r="H6" s="8">
        <v>17.46</v>
      </c>
      <c r="I6" s="12">
        <v>0</v>
      </c>
    </row>
    <row r="7" spans="2:9" ht="15" customHeight="1" x14ac:dyDescent="0.2">
      <c r="B7" t="s">
        <v>53</v>
      </c>
      <c r="C7" s="12">
        <v>11</v>
      </c>
      <c r="D7" s="8">
        <v>6.75</v>
      </c>
      <c r="E7" s="12">
        <v>2</v>
      </c>
      <c r="F7" s="8">
        <v>2.17</v>
      </c>
      <c r="G7" s="12">
        <v>9</v>
      </c>
      <c r="H7" s="8">
        <v>14.29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1.23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0.61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0.61</v>
      </c>
      <c r="E10" s="12">
        <v>0</v>
      </c>
      <c r="F10" s="8">
        <v>0</v>
      </c>
      <c r="G10" s="12">
        <v>1</v>
      </c>
      <c r="H10" s="8">
        <v>1.59</v>
      </c>
      <c r="I10" s="12">
        <v>0</v>
      </c>
    </row>
    <row r="11" spans="2:9" ht="15" customHeight="1" x14ac:dyDescent="0.2">
      <c r="B11" t="s">
        <v>57</v>
      </c>
      <c r="C11" s="12">
        <v>42</v>
      </c>
      <c r="D11" s="8">
        <v>25.77</v>
      </c>
      <c r="E11" s="12">
        <v>26</v>
      </c>
      <c r="F11" s="8">
        <v>28.26</v>
      </c>
      <c r="G11" s="12">
        <v>16</v>
      </c>
      <c r="H11" s="8">
        <v>25.4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7</v>
      </c>
      <c r="D13" s="8">
        <v>4.29</v>
      </c>
      <c r="E13" s="12">
        <v>2</v>
      </c>
      <c r="F13" s="8">
        <v>2.17</v>
      </c>
      <c r="G13" s="12">
        <v>4</v>
      </c>
      <c r="H13" s="8">
        <v>6.35</v>
      </c>
      <c r="I13" s="12">
        <v>0</v>
      </c>
    </row>
    <row r="14" spans="2:9" ht="15" customHeight="1" x14ac:dyDescent="0.2">
      <c r="B14" t="s">
        <v>60</v>
      </c>
      <c r="C14" s="12">
        <v>1</v>
      </c>
      <c r="D14" s="8">
        <v>0.61</v>
      </c>
      <c r="E14" s="12">
        <v>1</v>
      </c>
      <c r="F14" s="8">
        <v>1.0900000000000001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61</v>
      </c>
      <c r="C15" s="12">
        <v>46</v>
      </c>
      <c r="D15" s="8">
        <v>28.22</v>
      </c>
      <c r="E15" s="12">
        <v>29</v>
      </c>
      <c r="F15" s="8">
        <v>31.52</v>
      </c>
      <c r="G15" s="12">
        <v>17</v>
      </c>
      <c r="H15" s="8">
        <v>26.98</v>
      </c>
      <c r="I15" s="12">
        <v>0</v>
      </c>
    </row>
    <row r="16" spans="2:9" ht="15" customHeight="1" x14ac:dyDescent="0.2">
      <c r="B16" t="s">
        <v>62</v>
      </c>
      <c r="C16" s="12">
        <v>14</v>
      </c>
      <c r="D16" s="8">
        <v>8.59</v>
      </c>
      <c r="E16" s="12">
        <v>9</v>
      </c>
      <c r="F16" s="8">
        <v>9.7799999999999994</v>
      </c>
      <c r="G16" s="12">
        <v>3</v>
      </c>
      <c r="H16" s="8">
        <v>4.76</v>
      </c>
      <c r="I16" s="12">
        <v>0</v>
      </c>
    </row>
    <row r="17" spans="2:9" ht="15" customHeight="1" x14ac:dyDescent="0.2">
      <c r="B17" t="s">
        <v>63</v>
      </c>
      <c r="C17" s="12">
        <v>1</v>
      </c>
      <c r="D17" s="8">
        <v>0.61</v>
      </c>
      <c r="E17" s="12">
        <v>1</v>
      </c>
      <c r="F17" s="8">
        <v>1.0900000000000001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2</v>
      </c>
      <c r="D18" s="8">
        <v>1.23</v>
      </c>
      <c r="E18" s="12">
        <v>1</v>
      </c>
      <c r="F18" s="8">
        <v>1.0900000000000001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6</v>
      </c>
      <c r="D19" s="8">
        <v>3.68</v>
      </c>
      <c r="E19" s="12">
        <v>3</v>
      </c>
      <c r="F19" s="8">
        <v>3.26</v>
      </c>
      <c r="G19" s="12">
        <v>2</v>
      </c>
      <c r="H19" s="8">
        <v>3.17</v>
      </c>
      <c r="I19" s="12">
        <v>0</v>
      </c>
    </row>
    <row r="20" spans="2:9" ht="15" customHeight="1" x14ac:dyDescent="0.2">
      <c r="B20" s="9" t="s">
        <v>281</v>
      </c>
      <c r="C20" s="12">
        <f>SUM(LTBL_43423[総数／事業所数])</f>
        <v>163</v>
      </c>
      <c r="E20" s="12">
        <f>SUBTOTAL(109,LTBL_43423[個人／事業所数])</f>
        <v>92</v>
      </c>
      <c r="G20" s="12">
        <f>SUBTOTAL(109,LTBL_43423[法人／事業所数])</f>
        <v>63</v>
      </c>
      <c r="I20" s="12">
        <f>SUBTOTAL(109,LTBL_43423[法人以外の団体／事業所数])</f>
        <v>0</v>
      </c>
    </row>
    <row r="21" spans="2:9" ht="15" customHeight="1" x14ac:dyDescent="0.2">
      <c r="E21" s="11">
        <f>LTBL_43423[[#Totals],[個人／事業所数]]/LTBL_43423[[#Totals],[総数／事業所数]]</f>
        <v>0.56441717791411039</v>
      </c>
      <c r="G21" s="11">
        <f>LTBL_43423[[#Totals],[法人／事業所数]]/LTBL_43423[[#Totals],[総数／事業所数]]</f>
        <v>0.38650306748466257</v>
      </c>
      <c r="I21" s="11">
        <f>LTBL_43423[[#Totals],[法人以外の団体／事業所数]]/LTBL_43423[[#Totals],[総数／事業所数]]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31</v>
      </c>
      <c r="D24" s="8">
        <v>19.02</v>
      </c>
      <c r="E24" s="12">
        <v>22</v>
      </c>
      <c r="F24" s="8">
        <v>23.91</v>
      </c>
      <c r="G24" s="12">
        <v>9</v>
      </c>
      <c r="H24" s="8">
        <v>14.29</v>
      </c>
      <c r="I24" s="12">
        <v>0</v>
      </c>
    </row>
    <row r="25" spans="2:9" ht="15" customHeight="1" x14ac:dyDescent="0.2">
      <c r="B25" t="s">
        <v>81</v>
      </c>
      <c r="C25" s="12">
        <v>19</v>
      </c>
      <c r="D25" s="8">
        <v>11.66</v>
      </c>
      <c r="E25" s="12">
        <v>12</v>
      </c>
      <c r="F25" s="8">
        <v>13.04</v>
      </c>
      <c r="G25" s="12">
        <v>7</v>
      </c>
      <c r="H25" s="8">
        <v>11.11</v>
      </c>
      <c r="I25" s="12">
        <v>0</v>
      </c>
    </row>
    <row r="26" spans="2:9" ht="15" customHeight="1" x14ac:dyDescent="0.2">
      <c r="B26" t="s">
        <v>83</v>
      </c>
      <c r="C26" s="12">
        <v>15</v>
      </c>
      <c r="D26" s="8">
        <v>9.1999999999999993</v>
      </c>
      <c r="E26" s="12">
        <v>9</v>
      </c>
      <c r="F26" s="8">
        <v>9.7799999999999994</v>
      </c>
      <c r="G26" s="12">
        <v>6</v>
      </c>
      <c r="H26" s="8">
        <v>9.52</v>
      </c>
      <c r="I26" s="12">
        <v>0</v>
      </c>
    </row>
    <row r="27" spans="2:9" ht="15" customHeight="1" x14ac:dyDescent="0.2">
      <c r="B27" t="s">
        <v>106</v>
      </c>
      <c r="C27" s="12">
        <v>15</v>
      </c>
      <c r="D27" s="8">
        <v>9.1999999999999993</v>
      </c>
      <c r="E27" s="12">
        <v>7</v>
      </c>
      <c r="F27" s="8">
        <v>7.61</v>
      </c>
      <c r="G27" s="12">
        <v>8</v>
      </c>
      <c r="H27" s="8">
        <v>12.7</v>
      </c>
      <c r="I27" s="12">
        <v>0</v>
      </c>
    </row>
    <row r="28" spans="2:9" ht="15" customHeight="1" x14ac:dyDescent="0.2">
      <c r="B28" t="s">
        <v>74</v>
      </c>
      <c r="C28" s="12">
        <v>14</v>
      </c>
      <c r="D28" s="8">
        <v>8.59</v>
      </c>
      <c r="E28" s="12">
        <v>6</v>
      </c>
      <c r="F28" s="8">
        <v>6.52</v>
      </c>
      <c r="G28" s="12">
        <v>8</v>
      </c>
      <c r="H28" s="8">
        <v>12.7</v>
      </c>
      <c r="I28" s="12">
        <v>0</v>
      </c>
    </row>
    <row r="29" spans="2:9" ht="15" customHeight="1" x14ac:dyDescent="0.2">
      <c r="B29" t="s">
        <v>75</v>
      </c>
      <c r="C29" s="12">
        <v>11</v>
      </c>
      <c r="D29" s="8">
        <v>6.75</v>
      </c>
      <c r="E29" s="12">
        <v>9</v>
      </c>
      <c r="F29" s="8">
        <v>9.7799999999999994</v>
      </c>
      <c r="G29" s="12">
        <v>2</v>
      </c>
      <c r="H29" s="8">
        <v>3.17</v>
      </c>
      <c r="I29" s="12">
        <v>0</v>
      </c>
    </row>
    <row r="30" spans="2:9" ht="15" customHeight="1" x14ac:dyDescent="0.2">
      <c r="B30" t="s">
        <v>89</v>
      </c>
      <c r="C30" s="12">
        <v>11</v>
      </c>
      <c r="D30" s="8">
        <v>6.75</v>
      </c>
      <c r="E30" s="12">
        <v>8</v>
      </c>
      <c r="F30" s="8">
        <v>8.6999999999999993</v>
      </c>
      <c r="G30" s="12">
        <v>2</v>
      </c>
      <c r="H30" s="8">
        <v>3.17</v>
      </c>
      <c r="I30" s="12">
        <v>0</v>
      </c>
    </row>
    <row r="31" spans="2:9" ht="15" customHeight="1" x14ac:dyDescent="0.2">
      <c r="B31" t="s">
        <v>109</v>
      </c>
      <c r="C31" s="12">
        <v>5</v>
      </c>
      <c r="D31" s="8">
        <v>3.07</v>
      </c>
      <c r="E31" s="12">
        <v>2</v>
      </c>
      <c r="F31" s="8">
        <v>2.17</v>
      </c>
      <c r="G31" s="12">
        <v>3</v>
      </c>
      <c r="H31" s="8">
        <v>4.76</v>
      </c>
      <c r="I31" s="12">
        <v>0</v>
      </c>
    </row>
    <row r="32" spans="2:9" ht="15" customHeight="1" x14ac:dyDescent="0.2">
      <c r="B32" t="s">
        <v>85</v>
      </c>
      <c r="C32" s="12">
        <v>5</v>
      </c>
      <c r="D32" s="8">
        <v>3.07</v>
      </c>
      <c r="E32" s="12">
        <v>2</v>
      </c>
      <c r="F32" s="8">
        <v>2.17</v>
      </c>
      <c r="G32" s="12">
        <v>2</v>
      </c>
      <c r="H32" s="8">
        <v>3.17</v>
      </c>
      <c r="I32" s="12">
        <v>0</v>
      </c>
    </row>
    <row r="33" spans="2:9" ht="15" customHeight="1" x14ac:dyDescent="0.2">
      <c r="B33" t="s">
        <v>76</v>
      </c>
      <c r="C33" s="12">
        <v>4</v>
      </c>
      <c r="D33" s="8">
        <v>2.4500000000000002</v>
      </c>
      <c r="E33" s="12">
        <v>3</v>
      </c>
      <c r="F33" s="8">
        <v>3.26</v>
      </c>
      <c r="G33" s="12">
        <v>1</v>
      </c>
      <c r="H33" s="8">
        <v>1.59</v>
      </c>
      <c r="I33" s="12">
        <v>0</v>
      </c>
    </row>
    <row r="34" spans="2:9" ht="15" customHeight="1" x14ac:dyDescent="0.2">
      <c r="B34" t="s">
        <v>82</v>
      </c>
      <c r="C34" s="12">
        <v>4</v>
      </c>
      <c r="D34" s="8">
        <v>2.4500000000000002</v>
      </c>
      <c r="E34" s="12">
        <v>3</v>
      </c>
      <c r="F34" s="8">
        <v>3.26</v>
      </c>
      <c r="G34" s="12">
        <v>1</v>
      </c>
      <c r="H34" s="8">
        <v>1.59</v>
      </c>
      <c r="I34" s="12">
        <v>0</v>
      </c>
    </row>
    <row r="35" spans="2:9" ht="15" customHeight="1" x14ac:dyDescent="0.2">
      <c r="B35" t="s">
        <v>93</v>
      </c>
      <c r="C35" s="12">
        <v>3</v>
      </c>
      <c r="D35" s="8">
        <v>1.84</v>
      </c>
      <c r="E35" s="12">
        <v>3</v>
      </c>
      <c r="F35" s="8">
        <v>3.26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2</v>
      </c>
      <c r="D36" s="8">
        <v>1.23</v>
      </c>
      <c r="E36" s="12">
        <v>0</v>
      </c>
      <c r="F36" s="8">
        <v>0</v>
      </c>
      <c r="G36" s="12">
        <v>2</v>
      </c>
      <c r="H36" s="8">
        <v>3.17</v>
      </c>
      <c r="I36" s="12">
        <v>0</v>
      </c>
    </row>
    <row r="37" spans="2:9" ht="15" customHeight="1" x14ac:dyDescent="0.2">
      <c r="B37" t="s">
        <v>113</v>
      </c>
      <c r="C37" s="12">
        <v>2</v>
      </c>
      <c r="D37" s="8">
        <v>1.23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78</v>
      </c>
      <c r="C38" s="12">
        <v>2</v>
      </c>
      <c r="D38" s="8">
        <v>1.23</v>
      </c>
      <c r="E38" s="12">
        <v>1</v>
      </c>
      <c r="F38" s="8">
        <v>1.0900000000000001</v>
      </c>
      <c r="G38" s="12">
        <v>1</v>
      </c>
      <c r="H38" s="8">
        <v>1.59</v>
      </c>
      <c r="I38" s="12">
        <v>0</v>
      </c>
    </row>
    <row r="39" spans="2:9" ht="15" customHeight="1" x14ac:dyDescent="0.2">
      <c r="B39" t="s">
        <v>80</v>
      </c>
      <c r="C39" s="12">
        <v>2</v>
      </c>
      <c r="D39" s="8">
        <v>1.23</v>
      </c>
      <c r="E39" s="12">
        <v>1</v>
      </c>
      <c r="F39" s="8">
        <v>1.0900000000000001</v>
      </c>
      <c r="G39" s="12">
        <v>1</v>
      </c>
      <c r="H39" s="8">
        <v>1.59</v>
      </c>
      <c r="I39" s="12">
        <v>0</v>
      </c>
    </row>
    <row r="40" spans="2:9" ht="15" customHeight="1" x14ac:dyDescent="0.2">
      <c r="B40" t="s">
        <v>97</v>
      </c>
      <c r="C40" s="12">
        <v>2</v>
      </c>
      <c r="D40" s="8">
        <v>1.23</v>
      </c>
      <c r="E40" s="12">
        <v>0</v>
      </c>
      <c r="F40" s="8">
        <v>0</v>
      </c>
      <c r="G40" s="12">
        <v>1</v>
      </c>
      <c r="H40" s="8">
        <v>1.59</v>
      </c>
      <c r="I40" s="12">
        <v>0</v>
      </c>
    </row>
    <row r="41" spans="2:9" ht="15" customHeight="1" x14ac:dyDescent="0.2">
      <c r="B41" t="s">
        <v>118</v>
      </c>
      <c r="C41" s="12">
        <v>2</v>
      </c>
      <c r="D41" s="8">
        <v>1.23</v>
      </c>
      <c r="E41" s="12">
        <v>0</v>
      </c>
      <c r="F41" s="8">
        <v>0</v>
      </c>
      <c r="G41" s="12">
        <v>2</v>
      </c>
      <c r="H41" s="8">
        <v>3.17</v>
      </c>
      <c r="I41" s="12">
        <v>0</v>
      </c>
    </row>
    <row r="42" spans="2:9" ht="15" customHeight="1" x14ac:dyDescent="0.2">
      <c r="B42" t="s">
        <v>103</v>
      </c>
      <c r="C42" s="12">
        <v>1</v>
      </c>
      <c r="D42" s="8">
        <v>0.61</v>
      </c>
      <c r="E42" s="12">
        <v>0</v>
      </c>
      <c r="F42" s="8">
        <v>0</v>
      </c>
      <c r="G42" s="12">
        <v>1</v>
      </c>
      <c r="H42" s="8">
        <v>1.59</v>
      </c>
      <c r="I42" s="12">
        <v>0</v>
      </c>
    </row>
    <row r="43" spans="2:9" ht="15" customHeight="1" x14ac:dyDescent="0.2">
      <c r="B43" t="s">
        <v>110</v>
      </c>
      <c r="C43" s="12">
        <v>1</v>
      </c>
      <c r="D43" s="8">
        <v>0.61</v>
      </c>
      <c r="E43" s="12">
        <v>0</v>
      </c>
      <c r="F43" s="8">
        <v>0</v>
      </c>
      <c r="G43" s="12">
        <v>1</v>
      </c>
      <c r="H43" s="8">
        <v>1.59</v>
      </c>
      <c r="I43" s="12">
        <v>0</v>
      </c>
    </row>
    <row r="44" spans="2:9" ht="15" customHeight="1" x14ac:dyDescent="0.2">
      <c r="B44" t="s">
        <v>121</v>
      </c>
      <c r="C44" s="12">
        <v>1</v>
      </c>
      <c r="D44" s="8">
        <v>0.61</v>
      </c>
      <c r="E44" s="12">
        <v>0</v>
      </c>
      <c r="F44" s="8">
        <v>0</v>
      </c>
      <c r="G44" s="12">
        <v>1</v>
      </c>
      <c r="H44" s="8">
        <v>1.59</v>
      </c>
      <c r="I44" s="12">
        <v>0</v>
      </c>
    </row>
    <row r="45" spans="2:9" ht="15" customHeight="1" x14ac:dyDescent="0.2">
      <c r="B45" t="s">
        <v>111</v>
      </c>
      <c r="C45" s="12">
        <v>1</v>
      </c>
      <c r="D45" s="8">
        <v>0.61</v>
      </c>
      <c r="E45" s="12">
        <v>0</v>
      </c>
      <c r="F45" s="8">
        <v>0</v>
      </c>
      <c r="G45" s="12">
        <v>1</v>
      </c>
      <c r="H45" s="8">
        <v>1.59</v>
      </c>
      <c r="I45" s="12">
        <v>0</v>
      </c>
    </row>
    <row r="46" spans="2:9" ht="15" customHeight="1" x14ac:dyDescent="0.2">
      <c r="B46" t="s">
        <v>122</v>
      </c>
      <c r="C46" s="12">
        <v>1</v>
      </c>
      <c r="D46" s="8">
        <v>0.61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123</v>
      </c>
      <c r="C47" s="12">
        <v>1</v>
      </c>
      <c r="D47" s="8">
        <v>0.61</v>
      </c>
      <c r="E47" s="12">
        <v>0</v>
      </c>
      <c r="F47" s="8">
        <v>0</v>
      </c>
      <c r="G47" s="12">
        <v>1</v>
      </c>
      <c r="H47" s="8">
        <v>1.59</v>
      </c>
      <c r="I47" s="12">
        <v>0</v>
      </c>
    </row>
    <row r="48" spans="2:9" ht="15" customHeight="1" x14ac:dyDescent="0.2">
      <c r="B48" t="s">
        <v>84</v>
      </c>
      <c r="C48" s="12">
        <v>1</v>
      </c>
      <c r="D48" s="8">
        <v>0.61</v>
      </c>
      <c r="E48" s="12">
        <v>0</v>
      </c>
      <c r="F48" s="8">
        <v>0</v>
      </c>
      <c r="G48" s="12">
        <v>1</v>
      </c>
      <c r="H48" s="8">
        <v>1.59</v>
      </c>
      <c r="I48" s="12">
        <v>0</v>
      </c>
    </row>
    <row r="49" spans="2:9" ht="15" customHeight="1" x14ac:dyDescent="0.2">
      <c r="B49" t="s">
        <v>117</v>
      </c>
      <c r="C49" s="12">
        <v>1</v>
      </c>
      <c r="D49" s="8">
        <v>0.61</v>
      </c>
      <c r="E49" s="12">
        <v>0</v>
      </c>
      <c r="F49" s="8">
        <v>0</v>
      </c>
      <c r="G49" s="12">
        <v>1</v>
      </c>
      <c r="H49" s="8">
        <v>1.59</v>
      </c>
      <c r="I49" s="12">
        <v>0</v>
      </c>
    </row>
    <row r="50" spans="2:9" ht="15" customHeight="1" x14ac:dyDescent="0.2">
      <c r="B50" t="s">
        <v>87</v>
      </c>
      <c r="C50" s="12">
        <v>1</v>
      </c>
      <c r="D50" s="8">
        <v>0.61</v>
      </c>
      <c r="E50" s="12">
        <v>1</v>
      </c>
      <c r="F50" s="8">
        <v>1.0900000000000001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100</v>
      </c>
      <c r="C51" s="12">
        <v>1</v>
      </c>
      <c r="D51" s="8">
        <v>0.61</v>
      </c>
      <c r="E51" s="12">
        <v>1</v>
      </c>
      <c r="F51" s="8">
        <v>1.0900000000000001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90</v>
      </c>
      <c r="C52" s="12">
        <v>1</v>
      </c>
      <c r="D52" s="8">
        <v>0.61</v>
      </c>
      <c r="E52" s="12">
        <v>1</v>
      </c>
      <c r="F52" s="8">
        <v>1.0900000000000001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91</v>
      </c>
      <c r="C53" s="12">
        <v>1</v>
      </c>
      <c r="D53" s="8">
        <v>0.61</v>
      </c>
      <c r="E53" s="12">
        <v>1</v>
      </c>
      <c r="F53" s="8">
        <v>1.0900000000000001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92</v>
      </c>
      <c r="C54" s="12">
        <v>1</v>
      </c>
      <c r="D54" s="8">
        <v>0.61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120</v>
      </c>
      <c r="C55" s="12">
        <v>1</v>
      </c>
      <c r="D55" s="8">
        <v>0.61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8" spans="2:9" ht="33" customHeight="1" x14ac:dyDescent="0.2">
      <c r="B58" t="s">
        <v>283</v>
      </c>
      <c r="C58" s="10" t="s">
        <v>67</v>
      </c>
      <c r="D58" s="10" t="s">
        <v>68</v>
      </c>
      <c r="E58" s="10" t="s">
        <v>69</v>
      </c>
      <c r="F58" s="10" t="s">
        <v>70</v>
      </c>
      <c r="G58" s="10" t="s">
        <v>71</v>
      </c>
      <c r="H58" s="10" t="s">
        <v>72</v>
      </c>
      <c r="I58" s="10" t="s">
        <v>73</v>
      </c>
    </row>
    <row r="59" spans="2:9" ht="15" customHeight="1" x14ac:dyDescent="0.2">
      <c r="B59" t="s">
        <v>147</v>
      </c>
      <c r="C59" s="12">
        <v>9</v>
      </c>
      <c r="D59" s="8">
        <v>5.52</v>
      </c>
      <c r="E59" s="12">
        <v>5</v>
      </c>
      <c r="F59" s="8">
        <v>5.43</v>
      </c>
      <c r="G59" s="12">
        <v>4</v>
      </c>
      <c r="H59" s="8">
        <v>6.35</v>
      </c>
      <c r="I59" s="12">
        <v>0</v>
      </c>
    </row>
    <row r="60" spans="2:9" ht="15" customHeight="1" x14ac:dyDescent="0.2">
      <c r="B60" t="s">
        <v>166</v>
      </c>
      <c r="C60" s="12">
        <v>8</v>
      </c>
      <c r="D60" s="8">
        <v>4.91</v>
      </c>
      <c r="E60" s="12">
        <v>5</v>
      </c>
      <c r="F60" s="8">
        <v>5.43</v>
      </c>
      <c r="G60" s="12">
        <v>3</v>
      </c>
      <c r="H60" s="8">
        <v>4.76</v>
      </c>
      <c r="I60" s="12">
        <v>0</v>
      </c>
    </row>
    <row r="61" spans="2:9" ht="15" customHeight="1" x14ac:dyDescent="0.2">
      <c r="B61" t="s">
        <v>143</v>
      </c>
      <c r="C61" s="12">
        <v>8</v>
      </c>
      <c r="D61" s="8">
        <v>4.91</v>
      </c>
      <c r="E61" s="12">
        <v>7</v>
      </c>
      <c r="F61" s="8">
        <v>7.61</v>
      </c>
      <c r="G61" s="12">
        <v>1</v>
      </c>
      <c r="H61" s="8">
        <v>1.59</v>
      </c>
      <c r="I61" s="12">
        <v>0</v>
      </c>
    </row>
    <row r="62" spans="2:9" ht="15" customHeight="1" x14ac:dyDescent="0.2">
      <c r="B62" t="s">
        <v>181</v>
      </c>
      <c r="C62" s="12">
        <v>8</v>
      </c>
      <c r="D62" s="8">
        <v>4.91</v>
      </c>
      <c r="E62" s="12">
        <v>4</v>
      </c>
      <c r="F62" s="8">
        <v>4.3499999999999996</v>
      </c>
      <c r="G62" s="12">
        <v>4</v>
      </c>
      <c r="H62" s="8">
        <v>6.35</v>
      </c>
      <c r="I62" s="12">
        <v>0</v>
      </c>
    </row>
    <row r="63" spans="2:9" ht="15" customHeight="1" x14ac:dyDescent="0.2">
      <c r="B63" t="s">
        <v>170</v>
      </c>
      <c r="C63" s="12">
        <v>8</v>
      </c>
      <c r="D63" s="8">
        <v>4.91</v>
      </c>
      <c r="E63" s="12">
        <v>8</v>
      </c>
      <c r="F63" s="8">
        <v>8.6999999999999993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135</v>
      </c>
      <c r="C64" s="12">
        <v>7</v>
      </c>
      <c r="D64" s="8">
        <v>4.29</v>
      </c>
      <c r="E64" s="12">
        <v>2</v>
      </c>
      <c r="F64" s="8">
        <v>2.17</v>
      </c>
      <c r="G64" s="12">
        <v>5</v>
      </c>
      <c r="H64" s="8">
        <v>7.94</v>
      </c>
      <c r="I64" s="12">
        <v>0</v>
      </c>
    </row>
    <row r="65" spans="2:9" ht="15" customHeight="1" x14ac:dyDescent="0.2">
      <c r="B65" t="s">
        <v>140</v>
      </c>
      <c r="C65" s="12">
        <v>6</v>
      </c>
      <c r="D65" s="8">
        <v>3.68</v>
      </c>
      <c r="E65" s="12">
        <v>3</v>
      </c>
      <c r="F65" s="8">
        <v>3.26</v>
      </c>
      <c r="G65" s="12">
        <v>3</v>
      </c>
      <c r="H65" s="8">
        <v>4.76</v>
      </c>
      <c r="I65" s="12">
        <v>0</v>
      </c>
    </row>
    <row r="66" spans="2:9" ht="15" customHeight="1" x14ac:dyDescent="0.2">
      <c r="B66" t="s">
        <v>221</v>
      </c>
      <c r="C66" s="12">
        <v>6</v>
      </c>
      <c r="D66" s="8">
        <v>3.68</v>
      </c>
      <c r="E66" s="12">
        <v>2</v>
      </c>
      <c r="F66" s="8">
        <v>2.17</v>
      </c>
      <c r="G66" s="12">
        <v>4</v>
      </c>
      <c r="H66" s="8">
        <v>6.35</v>
      </c>
      <c r="I66" s="12">
        <v>0</v>
      </c>
    </row>
    <row r="67" spans="2:9" ht="15" customHeight="1" x14ac:dyDescent="0.2">
      <c r="B67" t="s">
        <v>150</v>
      </c>
      <c r="C67" s="12">
        <v>6</v>
      </c>
      <c r="D67" s="8">
        <v>3.68</v>
      </c>
      <c r="E67" s="12">
        <v>6</v>
      </c>
      <c r="F67" s="8">
        <v>6.52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209</v>
      </c>
      <c r="C68" s="12">
        <v>5</v>
      </c>
      <c r="D68" s="8">
        <v>3.07</v>
      </c>
      <c r="E68" s="12">
        <v>2</v>
      </c>
      <c r="F68" s="8">
        <v>2.17</v>
      </c>
      <c r="G68" s="12">
        <v>3</v>
      </c>
      <c r="H68" s="8">
        <v>4.76</v>
      </c>
      <c r="I68" s="12">
        <v>0</v>
      </c>
    </row>
    <row r="69" spans="2:9" ht="15" customHeight="1" x14ac:dyDescent="0.2">
      <c r="B69" t="s">
        <v>159</v>
      </c>
      <c r="C69" s="12">
        <v>5</v>
      </c>
      <c r="D69" s="8">
        <v>3.07</v>
      </c>
      <c r="E69" s="12">
        <v>3</v>
      </c>
      <c r="F69" s="8">
        <v>3.26</v>
      </c>
      <c r="G69" s="12">
        <v>2</v>
      </c>
      <c r="H69" s="8">
        <v>3.17</v>
      </c>
      <c r="I69" s="12">
        <v>0</v>
      </c>
    </row>
    <row r="70" spans="2:9" ht="15" customHeight="1" x14ac:dyDescent="0.2">
      <c r="B70" t="s">
        <v>220</v>
      </c>
      <c r="C70" s="12">
        <v>4</v>
      </c>
      <c r="D70" s="8">
        <v>2.4500000000000002</v>
      </c>
      <c r="E70" s="12">
        <v>4</v>
      </c>
      <c r="F70" s="8">
        <v>4.3499999999999996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186</v>
      </c>
      <c r="C71" s="12">
        <v>4</v>
      </c>
      <c r="D71" s="8">
        <v>2.4500000000000002</v>
      </c>
      <c r="E71" s="12">
        <v>2</v>
      </c>
      <c r="F71" s="8">
        <v>2.17</v>
      </c>
      <c r="G71" s="12">
        <v>2</v>
      </c>
      <c r="H71" s="8">
        <v>3.17</v>
      </c>
      <c r="I71" s="12">
        <v>0</v>
      </c>
    </row>
    <row r="72" spans="2:9" ht="15" customHeight="1" x14ac:dyDescent="0.2">
      <c r="B72" t="s">
        <v>136</v>
      </c>
      <c r="C72" s="12">
        <v>3</v>
      </c>
      <c r="D72" s="8">
        <v>1.84</v>
      </c>
      <c r="E72" s="12">
        <v>1</v>
      </c>
      <c r="F72" s="8">
        <v>1.0900000000000001</v>
      </c>
      <c r="G72" s="12">
        <v>2</v>
      </c>
      <c r="H72" s="8">
        <v>3.17</v>
      </c>
      <c r="I72" s="12">
        <v>0</v>
      </c>
    </row>
    <row r="73" spans="2:9" ht="15" customHeight="1" x14ac:dyDescent="0.2">
      <c r="B73" t="s">
        <v>137</v>
      </c>
      <c r="C73" s="12">
        <v>3</v>
      </c>
      <c r="D73" s="8">
        <v>1.84</v>
      </c>
      <c r="E73" s="12">
        <v>3</v>
      </c>
      <c r="F73" s="8">
        <v>3.26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174</v>
      </c>
      <c r="C74" s="12">
        <v>3</v>
      </c>
      <c r="D74" s="8">
        <v>1.84</v>
      </c>
      <c r="E74" s="12">
        <v>2</v>
      </c>
      <c r="F74" s="8">
        <v>2.17</v>
      </c>
      <c r="G74" s="12">
        <v>1</v>
      </c>
      <c r="H74" s="8">
        <v>1.59</v>
      </c>
      <c r="I74" s="12">
        <v>0</v>
      </c>
    </row>
    <row r="75" spans="2:9" ht="15" customHeight="1" x14ac:dyDescent="0.2">
      <c r="B75" t="s">
        <v>167</v>
      </c>
      <c r="C75" s="12">
        <v>3</v>
      </c>
      <c r="D75" s="8">
        <v>1.84</v>
      </c>
      <c r="E75" s="12">
        <v>2</v>
      </c>
      <c r="F75" s="8">
        <v>2.17</v>
      </c>
      <c r="G75" s="12">
        <v>1</v>
      </c>
      <c r="H75" s="8">
        <v>1.59</v>
      </c>
      <c r="I75" s="12">
        <v>0</v>
      </c>
    </row>
    <row r="76" spans="2:9" ht="15" customHeight="1" x14ac:dyDescent="0.2">
      <c r="B76" t="s">
        <v>145</v>
      </c>
      <c r="C76" s="12">
        <v>3</v>
      </c>
      <c r="D76" s="8">
        <v>1.84</v>
      </c>
      <c r="E76" s="12">
        <v>1</v>
      </c>
      <c r="F76" s="8">
        <v>1.0900000000000001</v>
      </c>
      <c r="G76" s="12">
        <v>1</v>
      </c>
      <c r="H76" s="8">
        <v>1.59</v>
      </c>
      <c r="I76" s="12">
        <v>0</v>
      </c>
    </row>
    <row r="77" spans="2:9" ht="15" customHeight="1" x14ac:dyDescent="0.2">
      <c r="B77" t="s">
        <v>154</v>
      </c>
      <c r="C77" s="12">
        <v>3</v>
      </c>
      <c r="D77" s="8">
        <v>1.84</v>
      </c>
      <c r="E77" s="12">
        <v>3</v>
      </c>
      <c r="F77" s="8">
        <v>3.26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184</v>
      </c>
      <c r="C78" s="12">
        <v>2</v>
      </c>
      <c r="D78" s="8">
        <v>1.23</v>
      </c>
      <c r="E78" s="12">
        <v>2</v>
      </c>
      <c r="F78" s="8">
        <v>2.17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138</v>
      </c>
      <c r="C79" s="12">
        <v>2</v>
      </c>
      <c r="D79" s="8">
        <v>1.23</v>
      </c>
      <c r="E79" s="12">
        <v>2</v>
      </c>
      <c r="F79" s="8">
        <v>2.17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163</v>
      </c>
      <c r="C80" s="12">
        <v>2</v>
      </c>
      <c r="D80" s="8">
        <v>1.23</v>
      </c>
      <c r="E80" s="12">
        <v>1</v>
      </c>
      <c r="F80" s="8">
        <v>1.0900000000000001</v>
      </c>
      <c r="G80" s="12">
        <v>1</v>
      </c>
      <c r="H80" s="8">
        <v>1.59</v>
      </c>
      <c r="I80" s="12">
        <v>0</v>
      </c>
    </row>
    <row r="81" spans="2:9" ht="15" customHeight="1" x14ac:dyDescent="0.2">
      <c r="B81" t="s">
        <v>165</v>
      </c>
      <c r="C81" s="12">
        <v>2</v>
      </c>
      <c r="D81" s="8">
        <v>1.23</v>
      </c>
      <c r="E81" s="12">
        <v>1</v>
      </c>
      <c r="F81" s="8">
        <v>1.0900000000000001</v>
      </c>
      <c r="G81" s="12">
        <v>1</v>
      </c>
      <c r="H81" s="8">
        <v>1.59</v>
      </c>
      <c r="I81" s="12">
        <v>0</v>
      </c>
    </row>
    <row r="82" spans="2:9" ht="15" customHeight="1" x14ac:dyDescent="0.2">
      <c r="B82" t="s">
        <v>139</v>
      </c>
      <c r="C82" s="12">
        <v>2</v>
      </c>
      <c r="D82" s="8">
        <v>1.23</v>
      </c>
      <c r="E82" s="12">
        <v>1</v>
      </c>
      <c r="F82" s="8">
        <v>1.0900000000000001</v>
      </c>
      <c r="G82" s="12">
        <v>1</v>
      </c>
      <c r="H82" s="8">
        <v>1.59</v>
      </c>
      <c r="I82" s="12">
        <v>0</v>
      </c>
    </row>
    <row r="83" spans="2:9" ht="15" customHeight="1" x14ac:dyDescent="0.2">
      <c r="B83" t="s">
        <v>203</v>
      </c>
      <c r="C83" s="12">
        <v>2</v>
      </c>
      <c r="D83" s="8">
        <v>1.23</v>
      </c>
      <c r="E83" s="12">
        <v>1</v>
      </c>
      <c r="F83" s="8">
        <v>1.0900000000000001</v>
      </c>
      <c r="G83" s="12">
        <v>1</v>
      </c>
      <c r="H83" s="8">
        <v>1.59</v>
      </c>
      <c r="I83" s="12">
        <v>0</v>
      </c>
    </row>
    <row r="84" spans="2:9" ht="15" customHeight="1" x14ac:dyDescent="0.2">
      <c r="B84" t="s">
        <v>148</v>
      </c>
      <c r="C84" s="12">
        <v>2</v>
      </c>
      <c r="D84" s="8">
        <v>1.23</v>
      </c>
      <c r="E84" s="12">
        <v>2</v>
      </c>
      <c r="F84" s="8">
        <v>2.17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151</v>
      </c>
      <c r="C85" s="12">
        <v>2</v>
      </c>
      <c r="D85" s="8">
        <v>1.23</v>
      </c>
      <c r="E85" s="12">
        <v>2</v>
      </c>
      <c r="F85" s="8">
        <v>2.17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211</v>
      </c>
      <c r="C86" s="12">
        <v>2</v>
      </c>
      <c r="D86" s="8">
        <v>1.23</v>
      </c>
      <c r="E86" s="12">
        <v>0</v>
      </c>
      <c r="F86" s="8">
        <v>0</v>
      </c>
      <c r="G86" s="12">
        <v>2</v>
      </c>
      <c r="H86" s="8">
        <v>3.17</v>
      </c>
      <c r="I86" s="12">
        <v>0</v>
      </c>
    </row>
    <row r="88" spans="2:9" ht="15" customHeight="1" x14ac:dyDescent="0.2">
      <c r="B8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2CE4-AAF2-4D84-AEB5-97EF7364B7E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49</v>
      </c>
      <c r="D6" s="8">
        <v>16.010000000000002</v>
      </c>
      <c r="E6" s="12">
        <v>29</v>
      </c>
      <c r="F6" s="8">
        <v>15.34</v>
      </c>
      <c r="G6" s="12">
        <v>20</v>
      </c>
      <c r="H6" s="8">
        <v>18.52</v>
      </c>
      <c r="I6" s="12">
        <v>0</v>
      </c>
    </row>
    <row r="7" spans="2:9" ht="15" customHeight="1" x14ac:dyDescent="0.2">
      <c r="B7" t="s">
        <v>53</v>
      </c>
      <c r="C7" s="12">
        <v>26</v>
      </c>
      <c r="D7" s="8">
        <v>8.5</v>
      </c>
      <c r="E7" s="12">
        <v>12</v>
      </c>
      <c r="F7" s="8">
        <v>6.35</v>
      </c>
      <c r="G7" s="12">
        <v>14</v>
      </c>
      <c r="H7" s="8">
        <v>12.96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0.93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1.31</v>
      </c>
      <c r="E9" s="12">
        <v>2</v>
      </c>
      <c r="F9" s="8">
        <v>1.06</v>
      </c>
      <c r="G9" s="12">
        <v>2</v>
      </c>
      <c r="H9" s="8">
        <v>1.85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1.31</v>
      </c>
      <c r="E10" s="12">
        <v>1</v>
      </c>
      <c r="F10" s="8">
        <v>0.53</v>
      </c>
      <c r="G10" s="12">
        <v>2</v>
      </c>
      <c r="H10" s="8">
        <v>1.85</v>
      </c>
      <c r="I10" s="12">
        <v>1</v>
      </c>
    </row>
    <row r="11" spans="2:9" ht="15" customHeight="1" x14ac:dyDescent="0.2">
      <c r="B11" t="s">
        <v>57</v>
      </c>
      <c r="C11" s="12">
        <v>74</v>
      </c>
      <c r="D11" s="8">
        <v>24.18</v>
      </c>
      <c r="E11" s="12">
        <v>42</v>
      </c>
      <c r="F11" s="8">
        <v>22.22</v>
      </c>
      <c r="G11" s="12">
        <v>31</v>
      </c>
      <c r="H11" s="8">
        <v>28.7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0.65</v>
      </c>
      <c r="E12" s="12">
        <v>0</v>
      </c>
      <c r="F12" s="8">
        <v>0</v>
      </c>
      <c r="G12" s="12">
        <v>2</v>
      </c>
      <c r="H12" s="8">
        <v>1.85</v>
      </c>
      <c r="I12" s="12">
        <v>0</v>
      </c>
    </row>
    <row r="13" spans="2:9" ht="15" customHeight="1" x14ac:dyDescent="0.2">
      <c r="B13" t="s">
        <v>59</v>
      </c>
      <c r="C13" s="12">
        <v>21</v>
      </c>
      <c r="D13" s="8">
        <v>6.86</v>
      </c>
      <c r="E13" s="12">
        <v>12</v>
      </c>
      <c r="F13" s="8">
        <v>6.35</v>
      </c>
      <c r="G13" s="12">
        <v>9</v>
      </c>
      <c r="H13" s="8">
        <v>8.33</v>
      </c>
      <c r="I13" s="12">
        <v>0</v>
      </c>
    </row>
    <row r="14" spans="2:9" ht="15" customHeight="1" x14ac:dyDescent="0.2">
      <c r="B14" t="s">
        <v>60</v>
      </c>
      <c r="C14" s="12">
        <v>6</v>
      </c>
      <c r="D14" s="8">
        <v>1.96</v>
      </c>
      <c r="E14" s="12">
        <v>5</v>
      </c>
      <c r="F14" s="8">
        <v>2.65</v>
      </c>
      <c r="G14" s="12">
        <v>1</v>
      </c>
      <c r="H14" s="8">
        <v>0.93</v>
      </c>
      <c r="I14" s="12">
        <v>0</v>
      </c>
    </row>
    <row r="15" spans="2:9" ht="15" customHeight="1" x14ac:dyDescent="0.2">
      <c r="B15" t="s">
        <v>61</v>
      </c>
      <c r="C15" s="12">
        <v>65</v>
      </c>
      <c r="D15" s="8">
        <v>21.24</v>
      </c>
      <c r="E15" s="12">
        <v>50</v>
      </c>
      <c r="F15" s="8">
        <v>26.46</v>
      </c>
      <c r="G15" s="12">
        <v>15</v>
      </c>
      <c r="H15" s="8">
        <v>13.89</v>
      </c>
      <c r="I15" s="12">
        <v>0</v>
      </c>
    </row>
    <row r="16" spans="2:9" ht="15" customHeight="1" x14ac:dyDescent="0.2">
      <c r="B16" t="s">
        <v>62</v>
      </c>
      <c r="C16" s="12">
        <v>32</v>
      </c>
      <c r="D16" s="8">
        <v>10.46</v>
      </c>
      <c r="E16" s="12">
        <v>26</v>
      </c>
      <c r="F16" s="8">
        <v>13.76</v>
      </c>
      <c r="G16" s="12">
        <v>4</v>
      </c>
      <c r="H16" s="8">
        <v>3.7</v>
      </c>
      <c r="I16" s="12">
        <v>2</v>
      </c>
    </row>
    <row r="17" spans="2:9" ht="15" customHeight="1" x14ac:dyDescent="0.2">
      <c r="B17" t="s">
        <v>63</v>
      </c>
      <c r="C17" s="12">
        <v>4</v>
      </c>
      <c r="D17" s="8">
        <v>1.31</v>
      </c>
      <c r="E17" s="12">
        <v>2</v>
      </c>
      <c r="F17" s="8">
        <v>1.06</v>
      </c>
      <c r="G17" s="12">
        <v>1</v>
      </c>
      <c r="H17" s="8">
        <v>0.93</v>
      </c>
      <c r="I17" s="12">
        <v>0</v>
      </c>
    </row>
    <row r="18" spans="2:9" ht="15" customHeight="1" x14ac:dyDescent="0.2">
      <c r="B18" t="s">
        <v>64</v>
      </c>
      <c r="C18" s="12">
        <v>8</v>
      </c>
      <c r="D18" s="8">
        <v>2.61</v>
      </c>
      <c r="E18" s="12">
        <v>5</v>
      </c>
      <c r="F18" s="8">
        <v>2.65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10</v>
      </c>
      <c r="D19" s="8">
        <v>3.27</v>
      </c>
      <c r="E19" s="12">
        <v>3</v>
      </c>
      <c r="F19" s="8">
        <v>1.59</v>
      </c>
      <c r="G19" s="12">
        <v>6</v>
      </c>
      <c r="H19" s="8">
        <v>5.56</v>
      </c>
      <c r="I19" s="12">
        <v>1</v>
      </c>
    </row>
    <row r="20" spans="2:9" ht="15" customHeight="1" x14ac:dyDescent="0.2">
      <c r="B20" s="9" t="s">
        <v>281</v>
      </c>
      <c r="C20" s="12">
        <f>SUM(LTBL_43424[総数／事業所数])</f>
        <v>306</v>
      </c>
      <c r="E20" s="12">
        <f>SUBTOTAL(109,LTBL_43424[個人／事業所数])</f>
        <v>189</v>
      </c>
      <c r="G20" s="12">
        <f>SUBTOTAL(109,LTBL_43424[法人／事業所数])</f>
        <v>108</v>
      </c>
      <c r="I20" s="12">
        <f>SUBTOTAL(109,LTBL_43424[法人以外の団体／事業所数])</f>
        <v>4</v>
      </c>
    </row>
    <row r="21" spans="2:9" ht="15" customHeight="1" x14ac:dyDescent="0.2">
      <c r="E21" s="11">
        <f>LTBL_43424[[#Totals],[個人／事業所数]]/LTBL_43424[[#Totals],[総数／事業所数]]</f>
        <v>0.61764705882352944</v>
      </c>
      <c r="G21" s="11">
        <f>LTBL_43424[[#Totals],[法人／事業所数]]/LTBL_43424[[#Totals],[総数／事業所数]]</f>
        <v>0.35294117647058826</v>
      </c>
      <c r="I21" s="11">
        <f>LTBL_43424[[#Totals],[法人以外の団体／事業所数]]/LTBL_43424[[#Totals],[総数／事業所数]]</f>
        <v>1.3071895424836602E-2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48</v>
      </c>
      <c r="D24" s="8">
        <v>15.69</v>
      </c>
      <c r="E24" s="12">
        <v>42</v>
      </c>
      <c r="F24" s="8">
        <v>22.22</v>
      </c>
      <c r="G24" s="12">
        <v>6</v>
      </c>
      <c r="H24" s="8">
        <v>5.56</v>
      </c>
      <c r="I24" s="12">
        <v>0</v>
      </c>
    </row>
    <row r="25" spans="2:9" ht="15" customHeight="1" x14ac:dyDescent="0.2">
      <c r="B25" t="s">
        <v>83</v>
      </c>
      <c r="C25" s="12">
        <v>26</v>
      </c>
      <c r="D25" s="8">
        <v>8.5</v>
      </c>
      <c r="E25" s="12">
        <v>13</v>
      </c>
      <c r="F25" s="8">
        <v>6.88</v>
      </c>
      <c r="G25" s="12">
        <v>13</v>
      </c>
      <c r="H25" s="8">
        <v>12.04</v>
      </c>
      <c r="I25" s="12">
        <v>0</v>
      </c>
    </row>
    <row r="26" spans="2:9" ht="15" customHeight="1" x14ac:dyDescent="0.2">
      <c r="B26" t="s">
        <v>89</v>
      </c>
      <c r="C26" s="12">
        <v>26</v>
      </c>
      <c r="D26" s="8">
        <v>8.5</v>
      </c>
      <c r="E26" s="12">
        <v>24</v>
      </c>
      <c r="F26" s="8">
        <v>12.7</v>
      </c>
      <c r="G26" s="12">
        <v>1</v>
      </c>
      <c r="H26" s="8">
        <v>0.93</v>
      </c>
      <c r="I26" s="12">
        <v>1</v>
      </c>
    </row>
    <row r="27" spans="2:9" ht="15" customHeight="1" x14ac:dyDescent="0.2">
      <c r="B27" t="s">
        <v>74</v>
      </c>
      <c r="C27" s="12">
        <v>25</v>
      </c>
      <c r="D27" s="8">
        <v>8.17</v>
      </c>
      <c r="E27" s="12">
        <v>11</v>
      </c>
      <c r="F27" s="8">
        <v>5.82</v>
      </c>
      <c r="G27" s="12">
        <v>14</v>
      </c>
      <c r="H27" s="8">
        <v>12.96</v>
      </c>
      <c r="I27" s="12">
        <v>0</v>
      </c>
    </row>
    <row r="28" spans="2:9" ht="15" customHeight="1" x14ac:dyDescent="0.2">
      <c r="B28" t="s">
        <v>81</v>
      </c>
      <c r="C28" s="12">
        <v>23</v>
      </c>
      <c r="D28" s="8">
        <v>7.52</v>
      </c>
      <c r="E28" s="12">
        <v>16</v>
      </c>
      <c r="F28" s="8">
        <v>8.4700000000000006</v>
      </c>
      <c r="G28" s="12">
        <v>6</v>
      </c>
      <c r="H28" s="8">
        <v>5.56</v>
      </c>
      <c r="I28" s="12">
        <v>0</v>
      </c>
    </row>
    <row r="29" spans="2:9" ht="15" customHeight="1" x14ac:dyDescent="0.2">
      <c r="B29" t="s">
        <v>85</v>
      </c>
      <c r="C29" s="12">
        <v>18</v>
      </c>
      <c r="D29" s="8">
        <v>5.88</v>
      </c>
      <c r="E29" s="12">
        <v>12</v>
      </c>
      <c r="F29" s="8">
        <v>6.35</v>
      </c>
      <c r="G29" s="12">
        <v>6</v>
      </c>
      <c r="H29" s="8">
        <v>5.56</v>
      </c>
      <c r="I29" s="12">
        <v>0</v>
      </c>
    </row>
    <row r="30" spans="2:9" ht="15" customHeight="1" x14ac:dyDescent="0.2">
      <c r="B30" t="s">
        <v>106</v>
      </c>
      <c r="C30" s="12">
        <v>16</v>
      </c>
      <c r="D30" s="8">
        <v>5.23</v>
      </c>
      <c r="E30" s="12">
        <v>8</v>
      </c>
      <c r="F30" s="8">
        <v>4.2300000000000004</v>
      </c>
      <c r="G30" s="12">
        <v>8</v>
      </c>
      <c r="H30" s="8">
        <v>7.41</v>
      </c>
      <c r="I30" s="12">
        <v>0</v>
      </c>
    </row>
    <row r="31" spans="2:9" ht="15" customHeight="1" x14ac:dyDescent="0.2">
      <c r="B31" t="s">
        <v>75</v>
      </c>
      <c r="C31" s="12">
        <v>14</v>
      </c>
      <c r="D31" s="8">
        <v>4.58</v>
      </c>
      <c r="E31" s="12">
        <v>10</v>
      </c>
      <c r="F31" s="8">
        <v>5.29</v>
      </c>
      <c r="G31" s="12">
        <v>4</v>
      </c>
      <c r="H31" s="8">
        <v>3.7</v>
      </c>
      <c r="I31" s="12">
        <v>0</v>
      </c>
    </row>
    <row r="32" spans="2:9" ht="15" customHeight="1" x14ac:dyDescent="0.2">
      <c r="B32" t="s">
        <v>82</v>
      </c>
      <c r="C32" s="12">
        <v>12</v>
      </c>
      <c r="D32" s="8">
        <v>3.92</v>
      </c>
      <c r="E32" s="12">
        <v>9</v>
      </c>
      <c r="F32" s="8">
        <v>4.76</v>
      </c>
      <c r="G32" s="12">
        <v>3</v>
      </c>
      <c r="H32" s="8">
        <v>2.78</v>
      </c>
      <c r="I32" s="12">
        <v>0</v>
      </c>
    </row>
    <row r="33" spans="2:9" ht="15" customHeight="1" x14ac:dyDescent="0.2">
      <c r="B33" t="s">
        <v>76</v>
      </c>
      <c r="C33" s="12">
        <v>10</v>
      </c>
      <c r="D33" s="8">
        <v>3.27</v>
      </c>
      <c r="E33" s="12">
        <v>8</v>
      </c>
      <c r="F33" s="8">
        <v>4.2300000000000004</v>
      </c>
      <c r="G33" s="12">
        <v>2</v>
      </c>
      <c r="H33" s="8">
        <v>1.85</v>
      </c>
      <c r="I33" s="12">
        <v>0</v>
      </c>
    </row>
    <row r="34" spans="2:9" ht="15" customHeight="1" x14ac:dyDescent="0.2">
      <c r="B34" t="s">
        <v>77</v>
      </c>
      <c r="C34" s="12">
        <v>8</v>
      </c>
      <c r="D34" s="8">
        <v>2.61</v>
      </c>
      <c r="E34" s="12">
        <v>3</v>
      </c>
      <c r="F34" s="8">
        <v>1.59</v>
      </c>
      <c r="G34" s="12">
        <v>5</v>
      </c>
      <c r="H34" s="8">
        <v>4.63</v>
      </c>
      <c r="I34" s="12">
        <v>0</v>
      </c>
    </row>
    <row r="35" spans="2:9" ht="15" customHeight="1" x14ac:dyDescent="0.2">
      <c r="B35" t="s">
        <v>109</v>
      </c>
      <c r="C35" s="12">
        <v>8</v>
      </c>
      <c r="D35" s="8">
        <v>2.61</v>
      </c>
      <c r="E35" s="12">
        <v>4</v>
      </c>
      <c r="F35" s="8">
        <v>2.12</v>
      </c>
      <c r="G35" s="12">
        <v>4</v>
      </c>
      <c r="H35" s="8">
        <v>3.7</v>
      </c>
      <c r="I35" s="12">
        <v>0</v>
      </c>
    </row>
    <row r="36" spans="2:9" ht="15" customHeight="1" x14ac:dyDescent="0.2">
      <c r="B36" t="s">
        <v>78</v>
      </c>
      <c r="C36" s="12">
        <v>8</v>
      </c>
      <c r="D36" s="8">
        <v>2.61</v>
      </c>
      <c r="E36" s="12">
        <v>2</v>
      </c>
      <c r="F36" s="8">
        <v>1.06</v>
      </c>
      <c r="G36" s="12">
        <v>6</v>
      </c>
      <c r="H36" s="8">
        <v>5.56</v>
      </c>
      <c r="I36" s="12">
        <v>0</v>
      </c>
    </row>
    <row r="37" spans="2:9" ht="15" customHeight="1" x14ac:dyDescent="0.2">
      <c r="B37" t="s">
        <v>110</v>
      </c>
      <c r="C37" s="12">
        <v>6</v>
      </c>
      <c r="D37" s="8">
        <v>1.96</v>
      </c>
      <c r="E37" s="12">
        <v>3</v>
      </c>
      <c r="F37" s="8">
        <v>1.59</v>
      </c>
      <c r="G37" s="12">
        <v>3</v>
      </c>
      <c r="H37" s="8">
        <v>2.78</v>
      </c>
      <c r="I37" s="12">
        <v>0</v>
      </c>
    </row>
    <row r="38" spans="2:9" ht="15" customHeight="1" x14ac:dyDescent="0.2">
      <c r="B38" t="s">
        <v>91</v>
      </c>
      <c r="C38" s="12">
        <v>6</v>
      </c>
      <c r="D38" s="8">
        <v>1.96</v>
      </c>
      <c r="E38" s="12">
        <v>5</v>
      </c>
      <c r="F38" s="8">
        <v>2.65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97</v>
      </c>
      <c r="C39" s="12">
        <v>5</v>
      </c>
      <c r="D39" s="8">
        <v>1.63</v>
      </c>
      <c r="E39" s="12">
        <v>2</v>
      </c>
      <c r="F39" s="8">
        <v>1.06</v>
      </c>
      <c r="G39" s="12">
        <v>3</v>
      </c>
      <c r="H39" s="8">
        <v>2.78</v>
      </c>
      <c r="I39" s="12">
        <v>0</v>
      </c>
    </row>
    <row r="40" spans="2:9" ht="15" customHeight="1" x14ac:dyDescent="0.2">
      <c r="B40" t="s">
        <v>90</v>
      </c>
      <c r="C40" s="12">
        <v>4</v>
      </c>
      <c r="D40" s="8">
        <v>1.31</v>
      </c>
      <c r="E40" s="12">
        <v>2</v>
      </c>
      <c r="F40" s="8">
        <v>1.06</v>
      </c>
      <c r="G40" s="12">
        <v>1</v>
      </c>
      <c r="H40" s="8">
        <v>0.93</v>
      </c>
      <c r="I40" s="12">
        <v>0</v>
      </c>
    </row>
    <row r="41" spans="2:9" ht="15" customHeight="1" x14ac:dyDescent="0.2">
      <c r="B41" t="s">
        <v>114</v>
      </c>
      <c r="C41" s="12">
        <v>3</v>
      </c>
      <c r="D41" s="8">
        <v>0.98</v>
      </c>
      <c r="E41" s="12">
        <v>1</v>
      </c>
      <c r="F41" s="8">
        <v>0.53</v>
      </c>
      <c r="G41" s="12">
        <v>2</v>
      </c>
      <c r="H41" s="8">
        <v>1.85</v>
      </c>
      <c r="I41" s="12">
        <v>0</v>
      </c>
    </row>
    <row r="42" spans="2:9" ht="15" customHeight="1" x14ac:dyDescent="0.2">
      <c r="B42" t="s">
        <v>80</v>
      </c>
      <c r="C42" s="12">
        <v>3</v>
      </c>
      <c r="D42" s="8">
        <v>0.98</v>
      </c>
      <c r="E42" s="12">
        <v>1</v>
      </c>
      <c r="F42" s="8">
        <v>0.53</v>
      </c>
      <c r="G42" s="12">
        <v>2</v>
      </c>
      <c r="H42" s="8">
        <v>1.85</v>
      </c>
      <c r="I42" s="12">
        <v>0</v>
      </c>
    </row>
    <row r="43" spans="2:9" ht="15" customHeight="1" x14ac:dyDescent="0.2">
      <c r="B43" t="s">
        <v>86</v>
      </c>
      <c r="C43" s="12">
        <v>3</v>
      </c>
      <c r="D43" s="8">
        <v>0.98</v>
      </c>
      <c r="E43" s="12">
        <v>3</v>
      </c>
      <c r="F43" s="8">
        <v>1.59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87</v>
      </c>
      <c r="C44" s="12">
        <v>3</v>
      </c>
      <c r="D44" s="8">
        <v>0.98</v>
      </c>
      <c r="E44" s="12">
        <v>2</v>
      </c>
      <c r="F44" s="8">
        <v>1.06</v>
      </c>
      <c r="G44" s="12">
        <v>1</v>
      </c>
      <c r="H44" s="8">
        <v>0.93</v>
      </c>
      <c r="I44" s="12">
        <v>0</v>
      </c>
    </row>
    <row r="45" spans="2:9" ht="15" customHeight="1" x14ac:dyDescent="0.2">
      <c r="B45" t="s">
        <v>93</v>
      </c>
      <c r="C45" s="12">
        <v>3</v>
      </c>
      <c r="D45" s="8">
        <v>0.98</v>
      </c>
      <c r="E45" s="12">
        <v>2</v>
      </c>
      <c r="F45" s="8">
        <v>1.06</v>
      </c>
      <c r="G45" s="12">
        <v>1</v>
      </c>
      <c r="H45" s="8">
        <v>0.93</v>
      </c>
      <c r="I45" s="12">
        <v>0</v>
      </c>
    </row>
    <row r="46" spans="2:9" ht="15" customHeight="1" x14ac:dyDescent="0.2">
      <c r="B46" t="s">
        <v>95</v>
      </c>
      <c r="C46" s="12">
        <v>3</v>
      </c>
      <c r="D46" s="8">
        <v>0.98</v>
      </c>
      <c r="E46" s="12">
        <v>0</v>
      </c>
      <c r="F46" s="8">
        <v>0</v>
      </c>
      <c r="G46" s="12">
        <v>2</v>
      </c>
      <c r="H46" s="8">
        <v>1.85</v>
      </c>
      <c r="I46" s="12">
        <v>1</v>
      </c>
    </row>
    <row r="49" spans="2:9" ht="33" customHeight="1" x14ac:dyDescent="0.2">
      <c r="B49" t="s">
        <v>283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181</v>
      </c>
      <c r="C50" s="12">
        <v>16</v>
      </c>
      <c r="D50" s="8">
        <v>5.23</v>
      </c>
      <c r="E50" s="12">
        <v>8</v>
      </c>
      <c r="F50" s="8">
        <v>4.2300000000000004</v>
      </c>
      <c r="G50" s="12">
        <v>8</v>
      </c>
      <c r="H50" s="8">
        <v>7.41</v>
      </c>
      <c r="I50" s="12">
        <v>0</v>
      </c>
    </row>
    <row r="51" spans="2:9" ht="15" customHeight="1" x14ac:dyDescent="0.2">
      <c r="B51" t="s">
        <v>145</v>
      </c>
      <c r="C51" s="12">
        <v>13</v>
      </c>
      <c r="D51" s="8">
        <v>4.25</v>
      </c>
      <c r="E51" s="12">
        <v>8</v>
      </c>
      <c r="F51" s="8">
        <v>4.2300000000000004</v>
      </c>
      <c r="G51" s="12">
        <v>5</v>
      </c>
      <c r="H51" s="8">
        <v>4.63</v>
      </c>
      <c r="I51" s="12">
        <v>0</v>
      </c>
    </row>
    <row r="52" spans="2:9" ht="15" customHeight="1" x14ac:dyDescent="0.2">
      <c r="B52" t="s">
        <v>151</v>
      </c>
      <c r="C52" s="12">
        <v>13</v>
      </c>
      <c r="D52" s="8">
        <v>4.25</v>
      </c>
      <c r="E52" s="12">
        <v>13</v>
      </c>
      <c r="F52" s="8">
        <v>6.88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147</v>
      </c>
      <c r="C53" s="12">
        <v>12</v>
      </c>
      <c r="D53" s="8">
        <v>3.92</v>
      </c>
      <c r="E53" s="12">
        <v>10</v>
      </c>
      <c r="F53" s="8">
        <v>5.29</v>
      </c>
      <c r="G53" s="12">
        <v>2</v>
      </c>
      <c r="H53" s="8">
        <v>1.85</v>
      </c>
      <c r="I53" s="12">
        <v>0</v>
      </c>
    </row>
    <row r="54" spans="2:9" ht="15" customHeight="1" x14ac:dyDescent="0.2">
      <c r="B54" t="s">
        <v>137</v>
      </c>
      <c r="C54" s="12">
        <v>10</v>
      </c>
      <c r="D54" s="8">
        <v>3.27</v>
      </c>
      <c r="E54" s="12">
        <v>7</v>
      </c>
      <c r="F54" s="8">
        <v>3.7</v>
      </c>
      <c r="G54" s="12">
        <v>3</v>
      </c>
      <c r="H54" s="8">
        <v>2.78</v>
      </c>
      <c r="I54" s="12">
        <v>0</v>
      </c>
    </row>
    <row r="55" spans="2:9" ht="15" customHeight="1" x14ac:dyDescent="0.2">
      <c r="B55" t="s">
        <v>148</v>
      </c>
      <c r="C55" s="12">
        <v>9</v>
      </c>
      <c r="D55" s="8">
        <v>2.94</v>
      </c>
      <c r="E55" s="12">
        <v>9</v>
      </c>
      <c r="F55" s="8">
        <v>4.76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159</v>
      </c>
      <c r="C56" s="12">
        <v>9</v>
      </c>
      <c r="D56" s="8">
        <v>2.94</v>
      </c>
      <c r="E56" s="12">
        <v>6</v>
      </c>
      <c r="F56" s="8">
        <v>3.17</v>
      </c>
      <c r="G56" s="12">
        <v>3</v>
      </c>
      <c r="H56" s="8">
        <v>2.78</v>
      </c>
      <c r="I56" s="12">
        <v>0</v>
      </c>
    </row>
    <row r="57" spans="2:9" ht="15" customHeight="1" x14ac:dyDescent="0.2">
      <c r="B57" t="s">
        <v>150</v>
      </c>
      <c r="C57" s="12">
        <v>8</v>
      </c>
      <c r="D57" s="8">
        <v>2.61</v>
      </c>
      <c r="E57" s="12">
        <v>8</v>
      </c>
      <c r="F57" s="8">
        <v>4.2300000000000004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135</v>
      </c>
      <c r="C58" s="12">
        <v>7</v>
      </c>
      <c r="D58" s="8">
        <v>2.29</v>
      </c>
      <c r="E58" s="12">
        <v>0</v>
      </c>
      <c r="F58" s="8">
        <v>0</v>
      </c>
      <c r="G58" s="12">
        <v>7</v>
      </c>
      <c r="H58" s="8">
        <v>6.48</v>
      </c>
      <c r="I58" s="12">
        <v>0</v>
      </c>
    </row>
    <row r="59" spans="2:9" ht="15" customHeight="1" x14ac:dyDescent="0.2">
      <c r="B59" t="s">
        <v>136</v>
      </c>
      <c r="C59" s="12">
        <v>7</v>
      </c>
      <c r="D59" s="8">
        <v>2.29</v>
      </c>
      <c r="E59" s="12">
        <v>3</v>
      </c>
      <c r="F59" s="8">
        <v>1.59</v>
      </c>
      <c r="G59" s="12">
        <v>4</v>
      </c>
      <c r="H59" s="8">
        <v>3.7</v>
      </c>
      <c r="I59" s="12">
        <v>0</v>
      </c>
    </row>
    <row r="60" spans="2:9" ht="15" customHeight="1" x14ac:dyDescent="0.2">
      <c r="B60" t="s">
        <v>186</v>
      </c>
      <c r="C60" s="12">
        <v>7</v>
      </c>
      <c r="D60" s="8">
        <v>2.29</v>
      </c>
      <c r="E60" s="12">
        <v>3</v>
      </c>
      <c r="F60" s="8">
        <v>1.59</v>
      </c>
      <c r="G60" s="12">
        <v>4</v>
      </c>
      <c r="H60" s="8">
        <v>3.7</v>
      </c>
      <c r="I60" s="12">
        <v>0</v>
      </c>
    </row>
    <row r="61" spans="2:9" ht="15" customHeight="1" x14ac:dyDescent="0.2">
      <c r="B61" t="s">
        <v>166</v>
      </c>
      <c r="C61" s="12">
        <v>7</v>
      </c>
      <c r="D61" s="8">
        <v>2.29</v>
      </c>
      <c r="E61" s="12">
        <v>6</v>
      </c>
      <c r="F61" s="8">
        <v>3.17</v>
      </c>
      <c r="G61" s="12">
        <v>1</v>
      </c>
      <c r="H61" s="8">
        <v>0.93</v>
      </c>
      <c r="I61" s="12">
        <v>0</v>
      </c>
    </row>
    <row r="62" spans="2:9" ht="15" customHeight="1" x14ac:dyDescent="0.2">
      <c r="B62" t="s">
        <v>141</v>
      </c>
      <c r="C62" s="12">
        <v>7</v>
      </c>
      <c r="D62" s="8">
        <v>2.29</v>
      </c>
      <c r="E62" s="12">
        <v>6</v>
      </c>
      <c r="F62" s="8">
        <v>3.17</v>
      </c>
      <c r="G62" s="12">
        <v>1</v>
      </c>
      <c r="H62" s="8">
        <v>0.93</v>
      </c>
      <c r="I62" s="12">
        <v>0</v>
      </c>
    </row>
    <row r="63" spans="2:9" ht="15" customHeight="1" x14ac:dyDescent="0.2">
      <c r="B63" t="s">
        <v>168</v>
      </c>
      <c r="C63" s="12">
        <v>7</v>
      </c>
      <c r="D63" s="8">
        <v>2.29</v>
      </c>
      <c r="E63" s="12">
        <v>1</v>
      </c>
      <c r="F63" s="8">
        <v>0.53</v>
      </c>
      <c r="G63" s="12">
        <v>6</v>
      </c>
      <c r="H63" s="8">
        <v>5.56</v>
      </c>
      <c r="I63" s="12">
        <v>0</v>
      </c>
    </row>
    <row r="64" spans="2:9" ht="15" customHeight="1" x14ac:dyDescent="0.2">
      <c r="B64" t="s">
        <v>163</v>
      </c>
      <c r="C64" s="12">
        <v>6</v>
      </c>
      <c r="D64" s="8">
        <v>1.96</v>
      </c>
      <c r="E64" s="12">
        <v>5</v>
      </c>
      <c r="F64" s="8">
        <v>2.65</v>
      </c>
      <c r="G64" s="12">
        <v>1</v>
      </c>
      <c r="H64" s="8">
        <v>0.93</v>
      </c>
      <c r="I64" s="12">
        <v>0</v>
      </c>
    </row>
    <row r="65" spans="2:9" ht="15" customHeight="1" x14ac:dyDescent="0.2">
      <c r="B65" t="s">
        <v>170</v>
      </c>
      <c r="C65" s="12">
        <v>6</v>
      </c>
      <c r="D65" s="8">
        <v>1.96</v>
      </c>
      <c r="E65" s="12">
        <v>6</v>
      </c>
      <c r="F65" s="8">
        <v>3.17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149</v>
      </c>
      <c r="C66" s="12">
        <v>6</v>
      </c>
      <c r="D66" s="8">
        <v>1.96</v>
      </c>
      <c r="E66" s="12">
        <v>6</v>
      </c>
      <c r="F66" s="8">
        <v>3.17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220</v>
      </c>
      <c r="C67" s="12">
        <v>5</v>
      </c>
      <c r="D67" s="8">
        <v>1.63</v>
      </c>
      <c r="E67" s="12">
        <v>5</v>
      </c>
      <c r="F67" s="8">
        <v>2.65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164</v>
      </c>
      <c r="C68" s="12">
        <v>5</v>
      </c>
      <c r="D68" s="8">
        <v>1.63</v>
      </c>
      <c r="E68" s="12">
        <v>0</v>
      </c>
      <c r="F68" s="8">
        <v>0</v>
      </c>
      <c r="G68" s="12">
        <v>5</v>
      </c>
      <c r="H68" s="8">
        <v>4.63</v>
      </c>
      <c r="I68" s="12">
        <v>0</v>
      </c>
    </row>
    <row r="69" spans="2:9" ht="15" customHeight="1" x14ac:dyDescent="0.2">
      <c r="B69" t="s">
        <v>140</v>
      </c>
      <c r="C69" s="12">
        <v>5</v>
      </c>
      <c r="D69" s="8">
        <v>1.63</v>
      </c>
      <c r="E69" s="12">
        <v>4</v>
      </c>
      <c r="F69" s="8">
        <v>2.12</v>
      </c>
      <c r="G69" s="12">
        <v>1</v>
      </c>
      <c r="H69" s="8">
        <v>0.93</v>
      </c>
      <c r="I69" s="12">
        <v>0</v>
      </c>
    </row>
    <row r="70" spans="2:9" ht="15" customHeight="1" x14ac:dyDescent="0.2">
      <c r="B70" t="s">
        <v>222</v>
      </c>
      <c r="C70" s="12">
        <v>5</v>
      </c>
      <c r="D70" s="8">
        <v>1.63</v>
      </c>
      <c r="E70" s="12">
        <v>2</v>
      </c>
      <c r="F70" s="8">
        <v>1.06</v>
      </c>
      <c r="G70" s="12">
        <v>3</v>
      </c>
      <c r="H70" s="8">
        <v>2.78</v>
      </c>
      <c r="I70" s="12">
        <v>0</v>
      </c>
    </row>
    <row r="71" spans="2:9" ht="15" customHeight="1" x14ac:dyDescent="0.2">
      <c r="B71" t="s">
        <v>209</v>
      </c>
      <c r="C71" s="12">
        <v>5</v>
      </c>
      <c r="D71" s="8">
        <v>1.63</v>
      </c>
      <c r="E71" s="12">
        <v>5</v>
      </c>
      <c r="F71" s="8">
        <v>2.65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1F74-F9AC-4D8E-8353-7137400EE47F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6</v>
      </c>
      <c r="D6" s="8">
        <v>13.04</v>
      </c>
      <c r="E6" s="12">
        <v>1</v>
      </c>
      <c r="F6" s="8">
        <v>4.3499999999999996</v>
      </c>
      <c r="G6" s="12">
        <v>5</v>
      </c>
      <c r="H6" s="8">
        <v>25</v>
      </c>
      <c r="I6" s="12">
        <v>0</v>
      </c>
    </row>
    <row r="7" spans="2:9" ht="15" customHeight="1" x14ac:dyDescent="0.2">
      <c r="B7" t="s">
        <v>53</v>
      </c>
      <c r="C7" s="12">
        <v>3</v>
      </c>
      <c r="D7" s="8">
        <v>6.52</v>
      </c>
      <c r="E7" s="12">
        <v>1</v>
      </c>
      <c r="F7" s="8">
        <v>4.3499999999999996</v>
      </c>
      <c r="G7" s="12">
        <v>2</v>
      </c>
      <c r="H7" s="8">
        <v>10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2.17</v>
      </c>
      <c r="E8" s="12">
        <v>0</v>
      </c>
      <c r="F8" s="8">
        <v>0</v>
      </c>
      <c r="G8" s="12">
        <v>1</v>
      </c>
      <c r="H8" s="8">
        <v>5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2.17</v>
      </c>
      <c r="E9" s="12">
        <v>0</v>
      </c>
      <c r="F9" s="8">
        <v>0</v>
      </c>
      <c r="G9" s="12">
        <v>1</v>
      </c>
      <c r="H9" s="8">
        <v>5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13</v>
      </c>
      <c r="D11" s="8">
        <v>28.26</v>
      </c>
      <c r="E11" s="12">
        <v>9</v>
      </c>
      <c r="F11" s="8">
        <v>39.130000000000003</v>
      </c>
      <c r="G11" s="12">
        <v>4</v>
      </c>
      <c r="H11" s="8">
        <v>20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60</v>
      </c>
      <c r="C14" s="12">
        <v>3</v>
      </c>
      <c r="D14" s="8">
        <v>6.52</v>
      </c>
      <c r="E14" s="12">
        <v>2</v>
      </c>
      <c r="F14" s="8">
        <v>8.6999999999999993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61</v>
      </c>
      <c r="C15" s="12">
        <v>9</v>
      </c>
      <c r="D15" s="8">
        <v>19.57</v>
      </c>
      <c r="E15" s="12">
        <v>5</v>
      </c>
      <c r="F15" s="8">
        <v>21.74</v>
      </c>
      <c r="G15" s="12">
        <v>3</v>
      </c>
      <c r="H15" s="8">
        <v>15</v>
      </c>
      <c r="I15" s="12">
        <v>0</v>
      </c>
    </row>
    <row r="16" spans="2:9" ht="15" customHeight="1" x14ac:dyDescent="0.2">
      <c r="B16" t="s">
        <v>62</v>
      </c>
      <c r="C16" s="12">
        <v>1</v>
      </c>
      <c r="D16" s="8">
        <v>2.17</v>
      </c>
      <c r="E16" s="12">
        <v>1</v>
      </c>
      <c r="F16" s="8">
        <v>4.3499999999999996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5</v>
      </c>
      <c r="D18" s="8">
        <v>10.87</v>
      </c>
      <c r="E18" s="12">
        <v>1</v>
      </c>
      <c r="F18" s="8">
        <v>4.3499999999999996</v>
      </c>
      <c r="G18" s="12">
        <v>3</v>
      </c>
      <c r="H18" s="8">
        <v>15</v>
      </c>
      <c r="I18" s="12">
        <v>0</v>
      </c>
    </row>
    <row r="19" spans="2:9" ht="15" customHeight="1" x14ac:dyDescent="0.2">
      <c r="B19" t="s">
        <v>65</v>
      </c>
      <c r="C19" s="12">
        <v>4</v>
      </c>
      <c r="D19" s="8">
        <v>8.6999999999999993</v>
      </c>
      <c r="E19" s="12">
        <v>3</v>
      </c>
      <c r="F19" s="8">
        <v>13.04</v>
      </c>
      <c r="G19" s="12">
        <v>1</v>
      </c>
      <c r="H19" s="8">
        <v>5</v>
      </c>
      <c r="I19" s="12">
        <v>0</v>
      </c>
    </row>
    <row r="20" spans="2:9" ht="15" customHeight="1" x14ac:dyDescent="0.2">
      <c r="B20" s="9" t="s">
        <v>281</v>
      </c>
      <c r="C20" s="12">
        <f>SUM(LTBL_43425[総数／事業所数])</f>
        <v>46</v>
      </c>
      <c r="E20" s="12">
        <f>SUBTOTAL(109,LTBL_43425[個人／事業所数])</f>
        <v>23</v>
      </c>
      <c r="G20" s="12">
        <f>SUBTOTAL(109,LTBL_43425[法人／事業所数])</f>
        <v>20</v>
      </c>
      <c r="I20" s="12">
        <f>SUBTOTAL(109,LTBL_43425[法人以外の団体／事業所数])</f>
        <v>0</v>
      </c>
    </row>
    <row r="21" spans="2:9" ht="15" customHeight="1" x14ac:dyDescent="0.2">
      <c r="E21" s="11">
        <f>LTBL_43425[[#Totals],[個人／事業所数]]/LTBL_43425[[#Totals],[総数／事業所数]]</f>
        <v>0.5</v>
      </c>
      <c r="G21" s="11">
        <f>LTBL_43425[[#Totals],[法人／事業所数]]/LTBL_43425[[#Totals],[総数／事業所数]]</f>
        <v>0.43478260869565216</v>
      </c>
      <c r="I21" s="11">
        <f>LTBL_43425[[#Totals],[法人以外の団体／事業所数]]/LTBL_43425[[#Totals],[総数／事業所数]]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81</v>
      </c>
      <c r="C24" s="12">
        <v>6</v>
      </c>
      <c r="D24" s="8">
        <v>13.04</v>
      </c>
      <c r="E24" s="12">
        <v>6</v>
      </c>
      <c r="F24" s="8">
        <v>26.09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74</v>
      </c>
      <c r="C25" s="12">
        <v>5</v>
      </c>
      <c r="D25" s="8">
        <v>10.87</v>
      </c>
      <c r="E25" s="12">
        <v>1</v>
      </c>
      <c r="F25" s="8">
        <v>4.3499999999999996</v>
      </c>
      <c r="G25" s="12">
        <v>4</v>
      </c>
      <c r="H25" s="8">
        <v>20</v>
      </c>
      <c r="I25" s="12">
        <v>0</v>
      </c>
    </row>
    <row r="26" spans="2:9" ht="15" customHeight="1" x14ac:dyDescent="0.2">
      <c r="B26" t="s">
        <v>83</v>
      </c>
      <c r="C26" s="12">
        <v>5</v>
      </c>
      <c r="D26" s="8">
        <v>10.87</v>
      </c>
      <c r="E26" s="12">
        <v>3</v>
      </c>
      <c r="F26" s="8">
        <v>13.04</v>
      </c>
      <c r="G26" s="12">
        <v>2</v>
      </c>
      <c r="H26" s="8">
        <v>10</v>
      </c>
      <c r="I26" s="12">
        <v>0</v>
      </c>
    </row>
    <row r="27" spans="2:9" ht="15" customHeight="1" x14ac:dyDescent="0.2">
      <c r="B27" t="s">
        <v>106</v>
      </c>
      <c r="C27" s="12">
        <v>5</v>
      </c>
      <c r="D27" s="8">
        <v>10.87</v>
      </c>
      <c r="E27" s="12">
        <v>2</v>
      </c>
      <c r="F27" s="8">
        <v>8.6999999999999993</v>
      </c>
      <c r="G27" s="12">
        <v>3</v>
      </c>
      <c r="H27" s="8">
        <v>15</v>
      </c>
      <c r="I27" s="12">
        <v>0</v>
      </c>
    </row>
    <row r="28" spans="2:9" ht="15" customHeight="1" x14ac:dyDescent="0.2">
      <c r="B28" t="s">
        <v>92</v>
      </c>
      <c r="C28" s="12">
        <v>4</v>
      </c>
      <c r="D28" s="8">
        <v>8.6999999999999993</v>
      </c>
      <c r="E28" s="12">
        <v>0</v>
      </c>
      <c r="F28" s="8">
        <v>0</v>
      </c>
      <c r="G28" s="12">
        <v>3</v>
      </c>
      <c r="H28" s="8">
        <v>15</v>
      </c>
      <c r="I28" s="12">
        <v>0</v>
      </c>
    </row>
    <row r="29" spans="2:9" ht="15" customHeight="1" x14ac:dyDescent="0.2">
      <c r="B29" t="s">
        <v>87</v>
      </c>
      <c r="C29" s="12">
        <v>3</v>
      </c>
      <c r="D29" s="8">
        <v>6.52</v>
      </c>
      <c r="E29" s="12">
        <v>2</v>
      </c>
      <c r="F29" s="8">
        <v>8.6999999999999993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88</v>
      </c>
      <c r="C30" s="12">
        <v>3</v>
      </c>
      <c r="D30" s="8">
        <v>6.52</v>
      </c>
      <c r="E30" s="12">
        <v>3</v>
      </c>
      <c r="F30" s="8">
        <v>13.04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93</v>
      </c>
      <c r="C31" s="12">
        <v>3</v>
      </c>
      <c r="D31" s="8">
        <v>6.52</v>
      </c>
      <c r="E31" s="12">
        <v>3</v>
      </c>
      <c r="F31" s="8">
        <v>13.04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77</v>
      </c>
      <c r="C32" s="12">
        <v>2</v>
      </c>
      <c r="D32" s="8">
        <v>4.3499999999999996</v>
      </c>
      <c r="E32" s="12">
        <v>1</v>
      </c>
      <c r="F32" s="8">
        <v>4.3499999999999996</v>
      </c>
      <c r="G32" s="12">
        <v>1</v>
      </c>
      <c r="H32" s="8">
        <v>5</v>
      </c>
      <c r="I32" s="12">
        <v>0</v>
      </c>
    </row>
    <row r="33" spans="2:9" ht="15" customHeight="1" x14ac:dyDescent="0.2">
      <c r="B33" t="s">
        <v>75</v>
      </c>
      <c r="C33" s="12">
        <v>1</v>
      </c>
      <c r="D33" s="8">
        <v>2.17</v>
      </c>
      <c r="E33" s="12">
        <v>0</v>
      </c>
      <c r="F33" s="8">
        <v>0</v>
      </c>
      <c r="G33" s="12">
        <v>1</v>
      </c>
      <c r="H33" s="8">
        <v>5</v>
      </c>
      <c r="I33" s="12">
        <v>0</v>
      </c>
    </row>
    <row r="34" spans="2:9" ht="15" customHeight="1" x14ac:dyDescent="0.2">
      <c r="B34" t="s">
        <v>108</v>
      </c>
      <c r="C34" s="12">
        <v>1</v>
      </c>
      <c r="D34" s="8">
        <v>2.17</v>
      </c>
      <c r="E34" s="12">
        <v>0</v>
      </c>
      <c r="F34" s="8">
        <v>0</v>
      </c>
      <c r="G34" s="12">
        <v>1</v>
      </c>
      <c r="H34" s="8">
        <v>5</v>
      </c>
      <c r="I34" s="12">
        <v>0</v>
      </c>
    </row>
    <row r="35" spans="2:9" ht="15" customHeight="1" x14ac:dyDescent="0.2">
      <c r="B35" t="s">
        <v>112</v>
      </c>
      <c r="C35" s="12">
        <v>1</v>
      </c>
      <c r="D35" s="8">
        <v>2.17</v>
      </c>
      <c r="E35" s="12">
        <v>0</v>
      </c>
      <c r="F35" s="8">
        <v>0</v>
      </c>
      <c r="G35" s="12">
        <v>1</v>
      </c>
      <c r="H35" s="8">
        <v>5</v>
      </c>
      <c r="I35" s="12">
        <v>0</v>
      </c>
    </row>
    <row r="36" spans="2:9" ht="15" customHeight="1" x14ac:dyDescent="0.2">
      <c r="B36" t="s">
        <v>124</v>
      </c>
      <c r="C36" s="12">
        <v>1</v>
      </c>
      <c r="D36" s="8">
        <v>2.17</v>
      </c>
      <c r="E36" s="12">
        <v>0</v>
      </c>
      <c r="F36" s="8">
        <v>0</v>
      </c>
      <c r="G36" s="12">
        <v>1</v>
      </c>
      <c r="H36" s="8">
        <v>5</v>
      </c>
      <c r="I36" s="12">
        <v>0</v>
      </c>
    </row>
    <row r="37" spans="2:9" ht="15" customHeight="1" x14ac:dyDescent="0.2">
      <c r="B37" t="s">
        <v>78</v>
      </c>
      <c r="C37" s="12">
        <v>1</v>
      </c>
      <c r="D37" s="8">
        <v>2.17</v>
      </c>
      <c r="E37" s="12">
        <v>0</v>
      </c>
      <c r="F37" s="8">
        <v>0</v>
      </c>
      <c r="G37" s="12">
        <v>1</v>
      </c>
      <c r="H37" s="8">
        <v>5</v>
      </c>
      <c r="I37" s="12">
        <v>0</v>
      </c>
    </row>
    <row r="38" spans="2:9" ht="15" customHeight="1" x14ac:dyDescent="0.2">
      <c r="B38" t="s">
        <v>99</v>
      </c>
      <c r="C38" s="12">
        <v>1</v>
      </c>
      <c r="D38" s="8">
        <v>2.17</v>
      </c>
      <c r="E38" s="12">
        <v>0</v>
      </c>
      <c r="F38" s="8">
        <v>0</v>
      </c>
      <c r="G38" s="12">
        <v>1</v>
      </c>
      <c r="H38" s="8">
        <v>5</v>
      </c>
      <c r="I38" s="12">
        <v>0</v>
      </c>
    </row>
    <row r="39" spans="2:9" ht="15" customHeight="1" x14ac:dyDescent="0.2">
      <c r="B39" t="s">
        <v>101</v>
      </c>
      <c r="C39" s="12">
        <v>1</v>
      </c>
      <c r="D39" s="8">
        <v>2.17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89</v>
      </c>
      <c r="C40" s="12">
        <v>1</v>
      </c>
      <c r="D40" s="8">
        <v>2.17</v>
      </c>
      <c r="E40" s="12">
        <v>1</v>
      </c>
      <c r="F40" s="8">
        <v>4.3499999999999996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91</v>
      </c>
      <c r="C41" s="12">
        <v>1</v>
      </c>
      <c r="D41" s="8">
        <v>2.17</v>
      </c>
      <c r="E41" s="12">
        <v>1</v>
      </c>
      <c r="F41" s="8">
        <v>4.3499999999999996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95</v>
      </c>
      <c r="C42" s="12">
        <v>1</v>
      </c>
      <c r="D42" s="8">
        <v>2.17</v>
      </c>
      <c r="E42" s="12">
        <v>0</v>
      </c>
      <c r="F42" s="8">
        <v>0</v>
      </c>
      <c r="G42" s="12">
        <v>1</v>
      </c>
      <c r="H42" s="8">
        <v>5</v>
      </c>
      <c r="I42" s="12">
        <v>0</v>
      </c>
    </row>
    <row r="45" spans="2:9" ht="33" customHeight="1" x14ac:dyDescent="0.2">
      <c r="B45" t="s">
        <v>283</v>
      </c>
      <c r="C45" s="10" t="s">
        <v>67</v>
      </c>
      <c r="D45" s="10" t="s">
        <v>68</v>
      </c>
      <c r="E45" s="10" t="s">
        <v>69</v>
      </c>
      <c r="F45" s="10" t="s">
        <v>70</v>
      </c>
      <c r="G45" s="10" t="s">
        <v>71</v>
      </c>
      <c r="H45" s="10" t="s">
        <v>72</v>
      </c>
      <c r="I45" s="10" t="s">
        <v>73</v>
      </c>
    </row>
    <row r="46" spans="2:9" ht="15" customHeight="1" x14ac:dyDescent="0.2">
      <c r="B46" t="s">
        <v>135</v>
      </c>
      <c r="C46" s="12">
        <v>5</v>
      </c>
      <c r="D46" s="8">
        <v>10.87</v>
      </c>
      <c r="E46" s="12">
        <v>1</v>
      </c>
      <c r="F46" s="8">
        <v>4.3499999999999996</v>
      </c>
      <c r="G46" s="12">
        <v>4</v>
      </c>
      <c r="H46" s="8">
        <v>20</v>
      </c>
      <c r="I46" s="12">
        <v>0</v>
      </c>
    </row>
    <row r="47" spans="2:9" ht="15" customHeight="1" x14ac:dyDescent="0.2">
      <c r="B47" t="s">
        <v>181</v>
      </c>
      <c r="C47" s="12">
        <v>4</v>
      </c>
      <c r="D47" s="8">
        <v>8.6999999999999993</v>
      </c>
      <c r="E47" s="12">
        <v>2</v>
      </c>
      <c r="F47" s="8">
        <v>8.6999999999999993</v>
      </c>
      <c r="G47" s="12">
        <v>2</v>
      </c>
      <c r="H47" s="8">
        <v>10</v>
      </c>
      <c r="I47" s="12">
        <v>0</v>
      </c>
    </row>
    <row r="48" spans="2:9" ht="15" customHeight="1" x14ac:dyDescent="0.2">
      <c r="B48" t="s">
        <v>140</v>
      </c>
      <c r="C48" s="12">
        <v>3</v>
      </c>
      <c r="D48" s="8">
        <v>6.52</v>
      </c>
      <c r="E48" s="12">
        <v>3</v>
      </c>
      <c r="F48" s="8">
        <v>13.04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168</v>
      </c>
      <c r="C49" s="12">
        <v>3</v>
      </c>
      <c r="D49" s="8">
        <v>6.52</v>
      </c>
      <c r="E49" s="12">
        <v>2</v>
      </c>
      <c r="F49" s="8">
        <v>8.6999999999999993</v>
      </c>
      <c r="G49" s="12">
        <v>1</v>
      </c>
      <c r="H49" s="8">
        <v>5</v>
      </c>
      <c r="I49" s="12">
        <v>0</v>
      </c>
    </row>
    <row r="50" spans="2:9" ht="15" customHeight="1" x14ac:dyDescent="0.2">
      <c r="B50" t="s">
        <v>154</v>
      </c>
      <c r="C50" s="12">
        <v>3</v>
      </c>
      <c r="D50" s="8">
        <v>6.52</v>
      </c>
      <c r="E50" s="12">
        <v>3</v>
      </c>
      <c r="F50" s="8">
        <v>13.04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223</v>
      </c>
      <c r="C51" s="12">
        <v>2</v>
      </c>
      <c r="D51" s="8">
        <v>4.3499999999999996</v>
      </c>
      <c r="E51" s="12">
        <v>1</v>
      </c>
      <c r="F51" s="8">
        <v>4.3499999999999996</v>
      </c>
      <c r="G51" s="12">
        <v>1</v>
      </c>
      <c r="H51" s="8">
        <v>5</v>
      </c>
      <c r="I51" s="12">
        <v>0</v>
      </c>
    </row>
    <row r="52" spans="2:9" ht="15" customHeight="1" x14ac:dyDescent="0.2">
      <c r="B52" t="s">
        <v>174</v>
      </c>
      <c r="C52" s="12">
        <v>2</v>
      </c>
      <c r="D52" s="8">
        <v>4.3499999999999996</v>
      </c>
      <c r="E52" s="12">
        <v>2</v>
      </c>
      <c r="F52" s="8">
        <v>8.6999999999999993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227</v>
      </c>
      <c r="C53" s="12">
        <v>2</v>
      </c>
      <c r="D53" s="8">
        <v>4.3499999999999996</v>
      </c>
      <c r="E53" s="12">
        <v>2</v>
      </c>
      <c r="F53" s="8">
        <v>8.6999999999999993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170</v>
      </c>
      <c r="C54" s="12">
        <v>2</v>
      </c>
      <c r="D54" s="8">
        <v>4.3499999999999996</v>
      </c>
      <c r="E54" s="12">
        <v>2</v>
      </c>
      <c r="F54" s="8">
        <v>8.6999999999999993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190</v>
      </c>
      <c r="C55" s="12">
        <v>1</v>
      </c>
      <c r="D55" s="8">
        <v>2.17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6" spans="2:9" ht="15" customHeight="1" x14ac:dyDescent="0.2">
      <c r="B56" t="s">
        <v>224</v>
      </c>
      <c r="C56" s="12">
        <v>1</v>
      </c>
      <c r="D56" s="8">
        <v>2.17</v>
      </c>
      <c r="E56" s="12">
        <v>0</v>
      </c>
      <c r="F56" s="8">
        <v>0</v>
      </c>
      <c r="G56" s="12">
        <v>1</v>
      </c>
      <c r="H56" s="8">
        <v>5</v>
      </c>
      <c r="I56" s="12">
        <v>0</v>
      </c>
    </row>
    <row r="57" spans="2:9" ht="15" customHeight="1" x14ac:dyDescent="0.2">
      <c r="B57" t="s">
        <v>196</v>
      </c>
      <c r="C57" s="12">
        <v>1</v>
      </c>
      <c r="D57" s="8">
        <v>2.17</v>
      </c>
      <c r="E57" s="12">
        <v>0</v>
      </c>
      <c r="F57" s="8">
        <v>0</v>
      </c>
      <c r="G57" s="12">
        <v>1</v>
      </c>
      <c r="H57" s="8">
        <v>5</v>
      </c>
      <c r="I57" s="12">
        <v>0</v>
      </c>
    </row>
    <row r="58" spans="2:9" ht="15" customHeight="1" x14ac:dyDescent="0.2">
      <c r="B58" t="s">
        <v>225</v>
      </c>
      <c r="C58" s="12">
        <v>1</v>
      </c>
      <c r="D58" s="8">
        <v>2.17</v>
      </c>
      <c r="E58" s="12">
        <v>0</v>
      </c>
      <c r="F58" s="8">
        <v>0</v>
      </c>
      <c r="G58" s="12">
        <v>1</v>
      </c>
      <c r="H58" s="8">
        <v>5</v>
      </c>
      <c r="I58" s="12">
        <v>0</v>
      </c>
    </row>
    <row r="59" spans="2:9" ht="15" customHeight="1" x14ac:dyDescent="0.2">
      <c r="B59" t="s">
        <v>164</v>
      </c>
      <c r="C59" s="12">
        <v>1</v>
      </c>
      <c r="D59" s="8">
        <v>2.17</v>
      </c>
      <c r="E59" s="12">
        <v>0</v>
      </c>
      <c r="F59" s="8">
        <v>0</v>
      </c>
      <c r="G59" s="12">
        <v>1</v>
      </c>
      <c r="H59" s="8">
        <v>5</v>
      </c>
      <c r="I59" s="12">
        <v>0</v>
      </c>
    </row>
    <row r="60" spans="2:9" ht="15" customHeight="1" x14ac:dyDescent="0.2">
      <c r="B60" t="s">
        <v>226</v>
      </c>
      <c r="C60" s="12">
        <v>1</v>
      </c>
      <c r="D60" s="8">
        <v>2.17</v>
      </c>
      <c r="E60" s="12">
        <v>0</v>
      </c>
      <c r="F60" s="8">
        <v>0</v>
      </c>
      <c r="G60" s="12">
        <v>1</v>
      </c>
      <c r="H60" s="8">
        <v>5</v>
      </c>
      <c r="I60" s="12">
        <v>0</v>
      </c>
    </row>
    <row r="61" spans="2:9" ht="15" customHeight="1" x14ac:dyDescent="0.2">
      <c r="B61" t="s">
        <v>166</v>
      </c>
      <c r="C61" s="12">
        <v>1</v>
      </c>
      <c r="D61" s="8">
        <v>2.17</v>
      </c>
      <c r="E61" s="12">
        <v>1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204</v>
      </c>
      <c r="C62" s="12">
        <v>1</v>
      </c>
      <c r="D62" s="8">
        <v>2.17</v>
      </c>
      <c r="E62" s="12">
        <v>0</v>
      </c>
      <c r="F62" s="8">
        <v>0</v>
      </c>
      <c r="G62" s="12">
        <v>1</v>
      </c>
      <c r="H62" s="8">
        <v>5</v>
      </c>
      <c r="I62" s="12">
        <v>0</v>
      </c>
    </row>
    <row r="63" spans="2:9" ht="15" customHeight="1" x14ac:dyDescent="0.2">
      <c r="B63" t="s">
        <v>143</v>
      </c>
      <c r="C63" s="12">
        <v>1</v>
      </c>
      <c r="D63" s="8">
        <v>2.17</v>
      </c>
      <c r="E63" s="12">
        <v>1</v>
      </c>
      <c r="F63" s="8">
        <v>4.3499999999999996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146</v>
      </c>
      <c r="C64" s="12">
        <v>1</v>
      </c>
      <c r="D64" s="8">
        <v>2.17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221</v>
      </c>
      <c r="C65" s="12">
        <v>1</v>
      </c>
      <c r="D65" s="8">
        <v>2.17</v>
      </c>
      <c r="E65" s="12">
        <v>0</v>
      </c>
      <c r="F65" s="8">
        <v>0</v>
      </c>
      <c r="G65" s="12">
        <v>1</v>
      </c>
      <c r="H65" s="8">
        <v>5</v>
      </c>
      <c r="I65" s="12">
        <v>0</v>
      </c>
    </row>
    <row r="66" spans="2:9" ht="15" customHeight="1" x14ac:dyDescent="0.2">
      <c r="B66" t="s">
        <v>147</v>
      </c>
      <c r="C66" s="12">
        <v>1</v>
      </c>
      <c r="D66" s="8">
        <v>2.17</v>
      </c>
      <c r="E66" s="12">
        <v>1</v>
      </c>
      <c r="F66" s="8">
        <v>4.3499999999999996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187</v>
      </c>
      <c r="C67" s="12">
        <v>1</v>
      </c>
      <c r="D67" s="8">
        <v>2.17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150</v>
      </c>
      <c r="C68" s="12">
        <v>1</v>
      </c>
      <c r="D68" s="8">
        <v>2.17</v>
      </c>
      <c r="E68" s="12">
        <v>1</v>
      </c>
      <c r="F68" s="8">
        <v>4.3499999999999996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153</v>
      </c>
      <c r="C69" s="12">
        <v>1</v>
      </c>
      <c r="D69" s="8">
        <v>2.17</v>
      </c>
      <c r="E69" s="12">
        <v>1</v>
      </c>
      <c r="F69" s="8">
        <v>4.3499999999999996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216</v>
      </c>
      <c r="C70" s="12">
        <v>1</v>
      </c>
      <c r="D70" s="8">
        <v>2.17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180</v>
      </c>
      <c r="C71" s="12">
        <v>1</v>
      </c>
      <c r="D71" s="8">
        <v>2.17</v>
      </c>
      <c r="E71" s="12">
        <v>0</v>
      </c>
      <c r="F71" s="8">
        <v>0</v>
      </c>
      <c r="G71" s="12">
        <v>1</v>
      </c>
      <c r="H71" s="8">
        <v>5</v>
      </c>
      <c r="I71" s="12">
        <v>0</v>
      </c>
    </row>
    <row r="72" spans="2:9" ht="15" customHeight="1" x14ac:dyDescent="0.2">
      <c r="B72" t="s">
        <v>176</v>
      </c>
      <c r="C72" s="12">
        <v>1</v>
      </c>
      <c r="D72" s="8">
        <v>2.17</v>
      </c>
      <c r="E72" s="12">
        <v>0</v>
      </c>
      <c r="F72" s="8">
        <v>0</v>
      </c>
      <c r="G72" s="12">
        <v>1</v>
      </c>
      <c r="H72" s="8">
        <v>5</v>
      </c>
      <c r="I72" s="12">
        <v>0</v>
      </c>
    </row>
    <row r="73" spans="2:9" ht="15" customHeight="1" x14ac:dyDescent="0.2">
      <c r="B73" t="s">
        <v>228</v>
      </c>
      <c r="C73" s="12">
        <v>1</v>
      </c>
      <c r="D73" s="8">
        <v>2.17</v>
      </c>
      <c r="E73" s="12">
        <v>0</v>
      </c>
      <c r="F73" s="8">
        <v>0</v>
      </c>
      <c r="G73" s="12">
        <v>1</v>
      </c>
      <c r="H73" s="8">
        <v>5</v>
      </c>
      <c r="I73" s="12">
        <v>0</v>
      </c>
    </row>
    <row r="74" spans="2:9" ht="15" customHeight="1" x14ac:dyDescent="0.2">
      <c r="B74" t="s">
        <v>212</v>
      </c>
      <c r="C74" s="12">
        <v>1</v>
      </c>
      <c r="D74" s="8">
        <v>2.17</v>
      </c>
      <c r="E74" s="12">
        <v>0</v>
      </c>
      <c r="F74" s="8">
        <v>0</v>
      </c>
      <c r="G74" s="12">
        <v>1</v>
      </c>
      <c r="H74" s="8">
        <v>5</v>
      </c>
      <c r="I74" s="12">
        <v>0</v>
      </c>
    </row>
    <row r="76" spans="2:9" ht="15" customHeight="1" x14ac:dyDescent="0.2">
      <c r="B76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15DE-CB7D-427E-8AC2-CCC5B98455C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0.52</v>
      </c>
      <c r="E5" s="12">
        <v>0</v>
      </c>
      <c r="F5" s="8">
        <v>0</v>
      </c>
      <c r="G5" s="12">
        <v>1</v>
      </c>
      <c r="H5" s="8">
        <v>1.39</v>
      </c>
      <c r="I5" s="12">
        <v>0</v>
      </c>
    </row>
    <row r="6" spans="2:9" ht="15" customHeight="1" x14ac:dyDescent="0.2">
      <c r="B6" t="s">
        <v>52</v>
      </c>
      <c r="C6" s="12">
        <v>31</v>
      </c>
      <c r="D6" s="8">
        <v>16.059999999999999</v>
      </c>
      <c r="E6" s="12">
        <v>9</v>
      </c>
      <c r="F6" s="8">
        <v>7.83</v>
      </c>
      <c r="G6" s="12">
        <v>22</v>
      </c>
      <c r="H6" s="8">
        <v>30.56</v>
      </c>
      <c r="I6" s="12">
        <v>0</v>
      </c>
    </row>
    <row r="7" spans="2:9" ht="15" customHeight="1" x14ac:dyDescent="0.2">
      <c r="B7" t="s">
        <v>53</v>
      </c>
      <c r="C7" s="12">
        <v>12</v>
      </c>
      <c r="D7" s="8">
        <v>6.22</v>
      </c>
      <c r="E7" s="12">
        <v>6</v>
      </c>
      <c r="F7" s="8">
        <v>5.22</v>
      </c>
      <c r="G7" s="12">
        <v>6</v>
      </c>
      <c r="H7" s="8">
        <v>8.33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0.52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0.52</v>
      </c>
      <c r="E9" s="12">
        <v>0</v>
      </c>
      <c r="F9" s="8">
        <v>0</v>
      </c>
      <c r="G9" s="12">
        <v>1</v>
      </c>
      <c r="H9" s="8">
        <v>1.39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1.55</v>
      </c>
      <c r="E10" s="12">
        <v>0</v>
      </c>
      <c r="F10" s="8">
        <v>0</v>
      </c>
      <c r="G10" s="12">
        <v>1</v>
      </c>
      <c r="H10" s="8">
        <v>1.39</v>
      </c>
      <c r="I10" s="12">
        <v>2</v>
      </c>
    </row>
    <row r="11" spans="2:9" ht="15" customHeight="1" x14ac:dyDescent="0.2">
      <c r="B11" t="s">
        <v>57</v>
      </c>
      <c r="C11" s="12">
        <v>55</v>
      </c>
      <c r="D11" s="8">
        <v>28.5</v>
      </c>
      <c r="E11" s="12">
        <v>35</v>
      </c>
      <c r="F11" s="8">
        <v>30.43</v>
      </c>
      <c r="G11" s="12">
        <v>20</v>
      </c>
      <c r="H11" s="8">
        <v>27.78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7</v>
      </c>
      <c r="D13" s="8">
        <v>3.63</v>
      </c>
      <c r="E13" s="12">
        <v>2</v>
      </c>
      <c r="F13" s="8">
        <v>1.74</v>
      </c>
      <c r="G13" s="12">
        <v>5</v>
      </c>
      <c r="H13" s="8">
        <v>6.94</v>
      </c>
      <c r="I13" s="12">
        <v>0</v>
      </c>
    </row>
    <row r="14" spans="2:9" ht="15" customHeight="1" x14ac:dyDescent="0.2">
      <c r="B14" t="s">
        <v>60</v>
      </c>
      <c r="C14" s="12">
        <v>8</v>
      </c>
      <c r="D14" s="8">
        <v>4.1500000000000004</v>
      </c>
      <c r="E14" s="12">
        <v>7</v>
      </c>
      <c r="F14" s="8">
        <v>6.09</v>
      </c>
      <c r="G14" s="12">
        <v>1</v>
      </c>
      <c r="H14" s="8">
        <v>1.39</v>
      </c>
      <c r="I14" s="12">
        <v>0</v>
      </c>
    </row>
    <row r="15" spans="2:9" ht="15" customHeight="1" x14ac:dyDescent="0.2">
      <c r="B15" t="s">
        <v>61</v>
      </c>
      <c r="C15" s="12">
        <v>34</v>
      </c>
      <c r="D15" s="8">
        <v>17.62</v>
      </c>
      <c r="E15" s="12">
        <v>29</v>
      </c>
      <c r="F15" s="8">
        <v>25.22</v>
      </c>
      <c r="G15" s="12">
        <v>5</v>
      </c>
      <c r="H15" s="8">
        <v>6.94</v>
      </c>
      <c r="I15" s="12">
        <v>0</v>
      </c>
    </row>
    <row r="16" spans="2:9" ht="15" customHeight="1" x14ac:dyDescent="0.2">
      <c r="B16" t="s">
        <v>62</v>
      </c>
      <c r="C16" s="12">
        <v>22</v>
      </c>
      <c r="D16" s="8">
        <v>11.4</v>
      </c>
      <c r="E16" s="12">
        <v>16</v>
      </c>
      <c r="F16" s="8">
        <v>13.91</v>
      </c>
      <c r="G16" s="12">
        <v>5</v>
      </c>
      <c r="H16" s="8">
        <v>6.94</v>
      </c>
      <c r="I16" s="12">
        <v>1</v>
      </c>
    </row>
    <row r="17" spans="2:9" ht="15" customHeight="1" x14ac:dyDescent="0.2">
      <c r="B17" t="s">
        <v>63</v>
      </c>
      <c r="C17" s="12">
        <v>5</v>
      </c>
      <c r="D17" s="8">
        <v>2.59</v>
      </c>
      <c r="E17" s="12">
        <v>4</v>
      </c>
      <c r="F17" s="8">
        <v>3.48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64</v>
      </c>
      <c r="C18" s="12">
        <v>8</v>
      </c>
      <c r="D18" s="8">
        <v>4.1500000000000004</v>
      </c>
      <c r="E18" s="12">
        <v>4</v>
      </c>
      <c r="F18" s="8">
        <v>3.48</v>
      </c>
      <c r="G18" s="12">
        <v>3</v>
      </c>
      <c r="H18" s="8">
        <v>4.17</v>
      </c>
      <c r="I18" s="12">
        <v>0</v>
      </c>
    </row>
    <row r="19" spans="2:9" ht="15" customHeight="1" x14ac:dyDescent="0.2">
      <c r="B19" t="s">
        <v>65</v>
      </c>
      <c r="C19" s="12">
        <v>5</v>
      </c>
      <c r="D19" s="8">
        <v>2.59</v>
      </c>
      <c r="E19" s="12">
        <v>3</v>
      </c>
      <c r="F19" s="8">
        <v>2.61</v>
      </c>
      <c r="G19" s="12">
        <v>2</v>
      </c>
      <c r="H19" s="8">
        <v>2.78</v>
      </c>
      <c r="I19" s="12">
        <v>0</v>
      </c>
    </row>
    <row r="20" spans="2:9" ht="15" customHeight="1" x14ac:dyDescent="0.2">
      <c r="B20" s="9" t="s">
        <v>281</v>
      </c>
      <c r="C20" s="12">
        <f>SUM(LTBL_43428[総数／事業所数])</f>
        <v>193</v>
      </c>
      <c r="E20" s="12">
        <f>SUBTOTAL(109,LTBL_43428[個人／事業所数])</f>
        <v>115</v>
      </c>
      <c r="G20" s="12">
        <f>SUBTOTAL(109,LTBL_43428[法人／事業所数])</f>
        <v>72</v>
      </c>
      <c r="I20" s="12">
        <f>SUBTOTAL(109,LTBL_43428[法人以外の団体／事業所数])</f>
        <v>4</v>
      </c>
    </row>
    <row r="21" spans="2:9" ht="15" customHeight="1" x14ac:dyDescent="0.2">
      <c r="E21" s="11">
        <f>LTBL_43428[[#Totals],[個人／事業所数]]/LTBL_43428[[#Totals],[総数／事業所数]]</f>
        <v>0.59585492227979275</v>
      </c>
      <c r="G21" s="11">
        <f>LTBL_43428[[#Totals],[法人／事業所数]]/LTBL_43428[[#Totals],[総数／事業所数]]</f>
        <v>0.37305699481865284</v>
      </c>
      <c r="I21" s="11">
        <f>LTBL_43428[[#Totals],[法人以外の団体／事業所数]]/LTBL_43428[[#Totals],[総数／事業所数]]</f>
        <v>2.072538860103627E-2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23</v>
      </c>
      <c r="D24" s="8">
        <v>11.92</v>
      </c>
      <c r="E24" s="12">
        <v>19</v>
      </c>
      <c r="F24" s="8">
        <v>16.52</v>
      </c>
      <c r="G24" s="12">
        <v>4</v>
      </c>
      <c r="H24" s="8">
        <v>5.56</v>
      </c>
      <c r="I24" s="12">
        <v>0</v>
      </c>
    </row>
    <row r="25" spans="2:9" ht="15" customHeight="1" x14ac:dyDescent="0.2">
      <c r="B25" t="s">
        <v>74</v>
      </c>
      <c r="C25" s="12">
        <v>21</v>
      </c>
      <c r="D25" s="8">
        <v>10.88</v>
      </c>
      <c r="E25" s="12">
        <v>5</v>
      </c>
      <c r="F25" s="8">
        <v>4.3499999999999996</v>
      </c>
      <c r="G25" s="12">
        <v>16</v>
      </c>
      <c r="H25" s="8">
        <v>22.22</v>
      </c>
      <c r="I25" s="12">
        <v>0</v>
      </c>
    </row>
    <row r="26" spans="2:9" ht="15" customHeight="1" x14ac:dyDescent="0.2">
      <c r="B26" t="s">
        <v>81</v>
      </c>
      <c r="C26" s="12">
        <v>21</v>
      </c>
      <c r="D26" s="8">
        <v>10.88</v>
      </c>
      <c r="E26" s="12">
        <v>18</v>
      </c>
      <c r="F26" s="8">
        <v>15.65</v>
      </c>
      <c r="G26" s="12">
        <v>3</v>
      </c>
      <c r="H26" s="8">
        <v>4.17</v>
      </c>
      <c r="I26" s="12">
        <v>0</v>
      </c>
    </row>
    <row r="27" spans="2:9" ht="15" customHeight="1" x14ac:dyDescent="0.2">
      <c r="B27" t="s">
        <v>83</v>
      </c>
      <c r="C27" s="12">
        <v>18</v>
      </c>
      <c r="D27" s="8">
        <v>9.33</v>
      </c>
      <c r="E27" s="12">
        <v>8</v>
      </c>
      <c r="F27" s="8">
        <v>6.96</v>
      </c>
      <c r="G27" s="12">
        <v>10</v>
      </c>
      <c r="H27" s="8">
        <v>13.89</v>
      </c>
      <c r="I27" s="12">
        <v>0</v>
      </c>
    </row>
    <row r="28" spans="2:9" ht="15" customHeight="1" x14ac:dyDescent="0.2">
      <c r="B28" t="s">
        <v>89</v>
      </c>
      <c r="C28" s="12">
        <v>17</v>
      </c>
      <c r="D28" s="8">
        <v>8.81</v>
      </c>
      <c r="E28" s="12">
        <v>15</v>
      </c>
      <c r="F28" s="8">
        <v>13.04</v>
      </c>
      <c r="G28" s="12">
        <v>2</v>
      </c>
      <c r="H28" s="8">
        <v>2.78</v>
      </c>
      <c r="I28" s="12">
        <v>0</v>
      </c>
    </row>
    <row r="29" spans="2:9" ht="15" customHeight="1" x14ac:dyDescent="0.2">
      <c r="B29" t="s">
        <v>106</v>
      </c>
      <c r="C29" s="12">
        <v>11</v>
      </c>
      <c r="D29" s="8">
        <v>5.7</v>
      </c>
      <c r="E29" s="12">
        <v>10</v>
      </c>
      <c r="F29" s="8">
        <v>8.6999999999999993</v>
      </c>
      <c r="G29" s="12">
        <v>1</v>
      </c>
      <c r="H29" s="8">
        <v>1.39</v>
      </c>
      <c r="I29" s="12">
        <v>0</v>
      </c>
    </row>
    <row r="30" spans="2:9" ht="15" customHeight="1" x14ac:dyDescent="0.2">
      <c r="B30" t="s">
        <v>75</v>
      </c>
      <c r="C30" s="12">
        <v>6</v>
      </c>
      <c r="D30" s="8">
        <v>3.11</v>
      </c>
      <c r="E30" s="12">
        <v>4</v>
      </c>
      <c r="F30" s="8">
        <v>3.48</v>
      </c>
      <c r="G30" s="12">
        <v>2</v>
      </c>
      <c r="H30" s="8">
        <v>2.78</v>
      </c>
      <c r="I30" s="12">
        <v>0</v>
      </c>
    </row>
    <row r="31" spans="2:9" ht="15" customHeight="1" x14ac:dyDescent="0.2">
      <c r="B31" t="s">
        <v>77</v>
      </c>
      <c r="C31" s="12">
        <v>6</v>
      </c>
      <c r="D31" s="8">
        <v>3.11</v>
      </c>
      <c r="E31" s="12">
        <v>4</v>
      </c>
      <c r="F31" s="8">
        <v>3.48</v>
      </c>
      <c r="G31" s="12">
        <v>2</v>
      </c>
      <c r="H31" s="8">
        <v>2.78</v>
      </c>
      <c r="I31" s="12">
        <v>0</v>
      </c>
    </row>
    <row r="32" spans="2:9" ht="15" customHeight="1" x14ac:dyDescent="0.2">
      <c r="B32" t="s">
        <v>85</v>
      </c>
      <c r="C32" s="12">
        <v>5</v>
      </c>
      <c r="D32" s="8">
        <v>2.59</v>
      </c>
      <c r="E32" s="12">
        <v>1</v>
      </c>
      <c r="F32" s="8">
        <v>0.87</v>
      </c>
      <c r="G32" s="12">
        <v>4</v>
      </c>
      <c r="H32" s="8">
        <v>5.56</v>
      </c>
      <c r="I32" s="12">
        <v>0</v>
      </c>
    </row>
    <row r="33" spans="2:9" ht="15" customHeight="1" x14ac:dyDescent="0.2">
      <c r="B33" t="s">
        <v>90</v>
      </c>
      <c r="C33" s="12">
        <v>5</v>
      </c>
      <c r="D33" s="8">
        <v>2.59</v>
      </c>
      <c r="E33" s="12">
        <v>4</v>
      </c>
      <c r="F33" s="8">
        <v>3.48</v>
      </c>
      <c r="G33" s="12">
        <v>0</v>
      </c>
      <c r="H33" s="8">
        <v>0</v>
      </c>
      <c r="I33" s="12">
        <v>1</v>
      </c>
    </row>
    <row r="34" spans="2:9" ht="15" customHeight="1" x14ac:dyDescent="0.2">
      <c r="B34" t="s">
        <v>76</v>
      </c>
      <c r="C34" s="12">
        <v>4</v>
      </c>
      <c r="D34" s="8">
        <v>2.0699999999999998</v>
      </c>
      <c r="E34" s="12">
        <v>0</v>
      </c>
      <c r="F34" s="8">
        <v>0</v>
      </c>
      <c r="G34" s="12">
        <v>4</v>
      </c>
      <c r="H34" s="8">
        <v>5.56</v>
      </c>
      <c r="I34" s="12">
        <v>0</v>
      </c>
    </row>
    <row r="35" spans="2:9" ht="15" customHeight="1" x14ac:dyDescent="0.2">
      <c r="B35" t="s">
        <v>80</v>
      </c>
      <c r="C35" s="12">
        <v>4</v>
      </c>
      <c r="D35" s="8">
        <v>2.0699999999999998</v>
      </c>
      <c r="E35" s="12">
        <v>4</v>
      </c>
      <c r="F35" s="8">
        <v>3.48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82</v>
      </c>
      <c r="C36" s="12">
        <v>4</v>
      </c>
      <c r="D36" s="8">
        <v>2.0699999999999998</v>
      </c>
      <c r="E36" s="12">
        <v>3</v>
      </c>
      <c r="F36" s="8">
        <v>2.61</v>
      </c>
      <c r="G36" s="12">
        <v>1</v>
      </c>
      <c r="H36" s="8">
        <v>1.39</v>
      </c>
      <c r="I36" s="12">
        <v>0</v>
      </c>
    </row>
    <row r="37" spans="2:9" ht="15" customHeight="1" x14ac:dyDescent="0.2">
      <c r="B37" t="s">
        <v>86</v>
      </c>
      <c r="C37" s="12">
        <v>4</v>
      </c>
      <c r="D37" s="8">
        <v>2.0699999999999998</v>
      </c>
      <c r="E37" s="12">
        <v>4</v>
      </c>
      <c r="F37" s="8">
        <v>3.48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87</v>
      </c>
      <c r="C38" s="12">
        <v>4</v>
      </c>
      <c r="D38" s="8">
        <v>2.0699999999999998</v>
      </c>
      <c r="E38" s="12">
        <v>3</v>
      </c>
      <c r="F38" s="8">
        <v>2.61</v>
      </c>
      <c r="G38" s="12">
        <v>1</v>
      </c>
      <c r="H38" s="8">
        <v>1.39</v>
      </c>
      <c r="I38" s="12">
        <v>0</v>
      </c>
    </row>
    <row r="39" spans="2:9" ht="15" customHeight="1" x14ac:dyDescent="0.2">
      <c r="B39" t="s">
        <v>91</v>
      </c>
      <c r="C39" s="12">
        <v>4</v>
      </c>
      <c r="D39" s="8">
        <v>2.0699999999999998</v>
      </c>
      <c r="E39" s="12">
        <v>4</v>
      </c>
      <c r="F39" s="8">
        <v>3.48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92</v>
      </c>
      <c r="C40" s="12">
        <v>4</v>
      </c>
      <c r="D40" s="8">
        <v>2.0699999999999998</v>
      </c>
      <c r="E40" s="12">
        <v>0</v>
      </c>
      <c r="F40" s="8">
        <v>0</v>
      </c>
      <c r="G40" s="12">
        <v>3</v>
      </c>
      <c r="H40" s="8">
        <v>4.17</v>
      </c>
      <c r="I40" s="12">
        <v>0</v>
      </c>
    </row>
    <row r="41" spans="2:9" ht="15" customHeight="1" x14ac:dyDescent="0.2">
      <c r="B41" t="s">
        <v>93</v>
      </c>
      <c r="C41" s="12">
        <v>4</v>
      </c>
      <c r="D41" s="8">
        <v>2.0699999999999998</v>
      </c>
      <c r="E41" s="12">
        <v>3</v>
      </c>
      <c r="F41" s="8">
        <v>2.61</v>
      </c>
      <c r="G41" s="12">
        <v>1</v>
      </c>
      <c r="H41" s="8">
        <v>1.39</v>
      </c>
      <c r="I41" s="12">
        <v>0</v>
      </c>
    </row>
    <row r="42" spans="2:9" ht="15" customHeight="1" x14ac:dyDescent="0.2">
      <c r="B42" t="s">
        <v>109</v>
      </c>
      <c r="C42" s="12">
        <v>3</v>
      </c>
      <c r="D42" s="8">
        <v>1.55</v>
      </c>
      <c r="E42" s="12">
        <v>0</v>
      </c>
      <c r="F42" s="8">
        <v>0</v>
      </c>
      <c r="G42" s="12">
        <v>3</v>
      </c>
      <c r="H42" s="8">
        <v>4.17</v>
      </c>
      <c r="I42" s="12">
        <v>0</v>
      </c>
    </row>
    <row r="43" spans="2:9" ht="15" customHeight="1" x14ac:dyDescent="0.2">
      <c r="B43" t="s">
        <v>78</v>
      </c>
      <c r="C43" s="12">
        <v>3</v>
      </c>
      <c r="D43" s="8">
        <v>1.55</v>
      </c>
      <c r="E43" s="12">
        <v>0</v>
      </c>
      <c r="F43" s="8">
        <v>0</v>
      </c>
      <c r="G43" s="12">
        <v>3</v>
      </c>
      <c r="H43" s="8">
        <v>4.17</v>
      </c>
      <c r="I43" s="12">
        <v>0</v>
      </c>
    </row>
    <row r="44" spans="2:9" ht="15" customHeight="1" x14ac:dyDescent="0.2">
      <c r="B44" t="s">
        <v>97</v>
      </c>
      <c r="C44" s="12">
        <v>3</v>
      </c>
      <c r="D44" s="8">
        <v>1.55</v>
      </c>
      <c r="E44" s="12">
        <v>1</v>
      </c>
      <c r="F44" s="8">
        <v>0.87</v>
      </c>
      <c r="G44" s="12">
        <v>2</v>
      </c>
      <c r="H44" s="8">
        <v>2.78</v>
      </c>
      <c r="I44" s="12">
        <v>0</v>
      </c>
    </row>
    <row r="47" spans="2:9" ht="33" customHeight="1" x14ac:dyDescent="0.2">
      <c r="B47" t="s">
        <v>283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135</v>
      </c>
      <c r="C48" s="12">
        <v>12</v>
      </c>
      <c r="D48" s="8">
        <v>6.22</v>
      </c>
      <c r="E48" s="12">
        <v>0</v>
      </c>
      <c r="F48" s="8">
        <v>0</v>
      </c>
      <c r="G48" s="12">
        <v>12</v>
      </c>
      <c r="H48" s="8">
        <v>16.670000000000002</v>
      </c>
      <c r="I48" s="12">
        <v>0</v>
      </c>
    </row>
    <row r="49" spans="2:9" ht="15" customHeight="1" x14ac:dyDescent="0.2">
      <c r="B49" t="s">
        <v>151</v>
      </c>
      <c r="C49" s="12">
        <v>10</v>
      </c>
      <c r="D49" s="8">
        <v>5.18</v>
      </c>
      <c r="E49" s="12">
        <v>8</v>
      </c>
      <c r="F49" s="8">
        <v>6.96</v>
      </c>
      <c r="G49" s="12">
        <v>2</v>
      </c>
      <c r="H49" s="8">
        <v>2.78</v>
      </c>
      <c r="I49" s="12">
        <v>0</v>
      </c>
    </row>
    <row r="50" spans="2:9" ht="15" customHeight="1" x14ac:dyDescent="0.2">
      <c r="B50" t="s">
        <v>181</v>
      </c>
      <c r="C50" s="12">
        <v>9</v>
      </c>
      <c r="D50" s="8">
        <v>4.66</v>
      </c>
      <c r="E50" s="12">
        <v>9</v>
      </c>
      <c r="F50" s="8">
        <v>7.83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140</v>
      </c>
      <c r="C51" s="12">
        <v>8</v>
      </c>
      <c r="D51" s="8">
        <v>4.1500000000000004</v>
      </c>
      <c r="E51" s="12">
        <v>6</v>
      </c>
      <c r="F51" s="8">
        <v>5.22</v>
      </c>
      <c r="G51" s="12">
        <v>2</v>
      </c>
      <c r="H51" s="8">
        <v>2.78</v>
      </c>
      <c r="I51" s="12">
        <v>0</v>
      </c>
    </row>
    <row r="52" spans="2:9" ht="15" customHeight="1" x14ac:dyDescent="0.2">
      <c r="B52" t="s">
        <v>143</v>
      </c>
      <c r="C52" s="12">
        <v>8</v>
      </c>
      <c r="D52" s="8">
        <v>4.1500000000000004</v>
      </c>
      <c r="E52" s="12">
        <v>4</v>
      </c>
      <c r="F52" s="8">
        <v>3.48</v>
      </c>
      <c r="G52" s="12">
        <v>4</v>
      </c>
      <c r="H52" s="8">
        <v>5.56</v>
      </c>
      <c r="I52" s="12">
        <v>0</v>
      </c>
    </row>
    <row r="53" spans="2:9" ht="15" customHeight="1" x14ac:dyDescent="0.2">
      <c r="B53" t="s">
        <v>147</v>
      </c>
      <c r="C53" s="12">
        <v>8</v>
      </c>
      <c r="D53" s="8">
        <v>4.1500000000000004</v>
      </c>
      <c r="E53" s="12">
        <v>5</v>
      </c>
      <c r="F53" s="8">
        <v>4.3499999999999996</v>
      </c>
      <c r="G53" s="12">
        <v>3</v>
      </c>
      <c r="H53" s="8">
        <v>4.17</v>
      </c>
      <c r="I53" s="12">
        <v>0</v>
      </c>
    </row>
    <row r="54" spans="2:9" ht="15" customHeight="1" x14ac:dyDescent="0.2">
      <c r="B54" t="s">
        <v>137</v>
      </c>
      <c r="C54" s="12">
        <v>6</v>
      </c>
      <c r="D54" s="8">
        <v>3.11</v>
      </c>
      <c r="E54" s="12">
        <v>4</v>
      </c>
      <c r="F54" s="8">
        <v>3.48</v>
      </c>
      <c r="G54" s="12">
        <v>2</v>
      </c>
      <c r="H54" s="8">
        <v>2.78</v>
      </c>
      <c r="I54" s="12">
        <v>0</v>
      </c>
    </row>
    <row r="55" spans="2:9" ht="15" customHeight="1" x14ac:dyDescent="0.2">
      <c r="B55" t="s">
        <v>166</v>
      </c>
      <c r="C55" s="12">
        <v>6</v>
      </c>
      <c r="D55" s="8">
        <v>3.11</v>
      </c>
      <c r="E55" s="12">
        <v>6</v>
      </c>
      <c r="F55" s="8">
        <v>5.22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142</v>
      </c>
      <c r="C56" s="12">
        <v>5</v>
      </c>
      <c r="D56" s="8">
        <v>2.59</v>
      </c>
      <c r="E56" s="12">
        <v>2</v>
      </c>
      <c r="F56" s="8">
        <v>1.74</v>
      </c>
      <c r="G56" s="12">
        <v>3</v>
      </c>
      <c r="H56" s="8">
        <v>4.17</v>
      </c>
      <c r="I56" s="12">
        <v>0</v>
      </c>
    </row>
    <row r="57" spans="2:9" ht="15" customHeight="1" x14ac:dyDescent="0.2">
      <c r="B57" t="s">
        <v>148</v>
      </c>
      <c r="C57" s="12">
        <v>5</v>
      </c>
      <c r="D57" s="8">
        <v>2.59</v>
      </c>
      <c r="E57" s="12">
        <v>4</v>
      </c>
      <c r="F57" s="8">
        <v>3.48</v>
      </c>
      <c r="G57" s="12">
        <v>1</v>
      </c>
      <c r="H57" s="8">
        <v>1.39</v>
      </c>
      <c r="I57" s="12">
        <v>0</v>
      </c>
    </row>
    <row r="58" spans="2:9" ht="15" customHeight="1" x14ac:dyDescent="0.2">
      <c r="B58" t="s">
        <v>150</v>
      </c>
      <c r="C58" s="12">
        <v>5</v>
      </c>
      <c r="D58" s="8">
        <v>2.59</v>
      </c>
      <c r="E58" s="12">
        <v>5</v>
      </c>
      <c r="F58" s="8">
        <v>4.3499999999999996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139</v>
      </c>
      <c r="C59" s="12">
        <v>4</v>
      </c>
      <c r="D59" s="8">
        <v>2.0699999999999998</v>
      </c>
      <c r="E59" s="12">
        <v>4</v>
      </c>
      <c r="F59" s="8">
        <v>3.48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4</v>
      </c>
      <c r="D60" s="8">
        <v>2.0699999999999998</v>
      </c>
      <c r="E60" s="12">
        <v>4</v>
      </c>
      <c r="F60" s="8">
        <v>3.48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207</v>
      </c>
      <c r="C61" s="12">
        <v>4</v>
      </c>
      <c r="D61" s="8">
        <v>2.0699999999999998</v>
      </c>
      <c r="E61" s="12">
        <v>4</v>
      </c>
      <c r="F61" s="8">
        <v>3.48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170</v>
      </c>
      <c r="C62" s="12">
        <v>4</v>
      </c>
      <c r="D62" s="8">
        <v>2.0699999999999998</v>
      </c>
      <c r="E62" s="12">
        <v>4</v>
      </c>
      <c r="F62" s="8">
        <v>3.48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153</v>
      </c>
      <c r="C63" s="12">
        <v>4</v>
      </c>
      <c r="D63" s="8">
        <v>2.0699999999999998</v>
      </c>
      <c r="E63" s="12">
        <v>4</v>
      </c>
      <c r="F63" s="8">
        <v>3.48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154</v>
      </c>
      <c r="C64" s="12">
        <v>4</v>
      </c>
      <c r="D64" s="8">
        <v>2.0699999999999998</v>
      </c>
      <c r="E64" s="12">
        <v>3</v>
      </c>
      <c r="F64" s="8">
        <v>2.61</v>
      </c>
      <c r="G64" s="12">
        <v>1</v>
      </c>
      <c r="H64" s="8">
        <v>1.39</v>
      </c>
      <c r="I64" s="12">
        <v>0</v>
      </c>
    </row>
    <row r="65" spans="2:9" ht="15" customHeight="1" x14ac:dyDescent="0.2">
      <c r="B65" t="s">
        <v>136</v>
      </c>
      <c r="C65" s="12">
        <v>3</v>
      </c>
      <c r="D65" s="8">
        <v>1.55</v>
      </c>
      <c r="E65" s="12">
        <v>1</v>
      </c>
      <c r="F65" s="8">
        <v>0.87</v>
      </c>
      <c r="G65" s="12">
        <v>2</v>
      </c>
      <c r="H65" s="8">
        <v>2.78</v>
      </c>
      <c r="I65" s="12">
        <v>0</v>
      </c>
    </row>
    <row r="66" spans="2:9" ht="15" customHeight="1" x14ac:dyDescent="0.2">
      <c r="B66" t="s">
        <v>163</v>
      </c>
      <c r="C66" s="12">
        <v>3</v>
      </c>
      <c r="D66" s="8">
        <v>1.55</v>
      </c>
      <c r="E66" s="12">
        <v>0</v>
      </c>
      <c r="F66" s="8">
        <v>0</v>
      </c>
      <c r="G66" s="12">
        <v>3</v>
      </c>
      <c r="H66" s="8">
        <v>4.17</v>
      </c>
      <c r="I66" s="12">
        <v>0</v>
      </c>
    </row>
    <row r="67" spans="2:9" ht="15" customHeight="1" x14ac:dyDescent="0.2">
      <c r="B67" t="s">
        <v>186</v>
      </c>
      <c r="C67" s="12">
        <v>3</v>
      </c>
      <c r="D67" s="8">
        <v>1.55</v>
      </c>
      <c r="E67" s="12">
        <v>0</v>
      </c>
      <c r="F67" s="8">
        <v>0</v>
      </c>
      <c r="G67" s="12">
        <v>3</v>
      </c>
      <c r="H67" s="8">
        <v>4.17</v>
      </c>
      <c r="I67" s="12">
        <v>0</v>
      </c>
    </row>
    <row r="68" spans="2:9" ht="15" customHeight="1" x14ac:dyDescent="0.2">
      <c r="B68" t="s">
        <v>164</v>
      </c>
      <c r="C68" s="12">
        <v>3</v>
      </c>
      <c r="D68" s="8">
        <v>1.55</v>
      </c>
      <c r="E68" s="12">
        <v>0</v>
      </c>
      <c r="F68" s="8">
        <v>0</v>
      </c>
      <c r="G68" s="12">
        <v>3</v>
      </c>
      <c r="H68" s="8">
        <v>4.17</v>
      </c>
      <c r="I68" s="12">
        <v>0</v>
      </c>
    </row>
    <row r="69" spans="2:9" ht="15" customHeight="1" x14ac:dyDescent="0.2">
      <c r="B69" t="s">
        <v>167</v>
      </c>
      <c r="C69" s="12">
        <v>3</v>
      </c>
      <c r="D69" s="8">
        <v>1.55</v>
      </c>
      <c r="E69" s="12">
        <v>2</v>
      </c>
      <c r="F69" s="8">
        <v>1.74</v>
      </c>
      <c r="G69" s="12">
        <v>1</v>
      </c>
      <c r="H69" s="8">
        <v>1.39</v>
      </c>
      <c r="I69" s="12">
        <v>0</v>
      </c>
    </row>
    <row r="70" spans="2:9" ht="15" customHeight="1" x14ac:dyDescent="0.2">
      <c r="B70" t="s">
        <v>144</v>
      </c>
      <c r="C70" s="12">
        <v>3</v>
      </c>
      <c r="D70" s="8">
        <v>1.55</v>
      </c>
      <c r="E70" s="12">
        <v>0</v>
      </c>
      <c r="F70" s="8">
        <v>0</v>
      </c>
      <c r="G70" s="12">
        <v>3</v>
      </c>
      <c r="H70" s="8">
        <v>4.17</v>
      </c>
      <c r="I70" s="12">
        <v>0</v>
      </c>
    </row>
    <row r="71" spans="2:9" ht="15" customHeight="1" x14ac:dyDescent="0.2">
      <c r="B71" t="s">
        <v>159</v>
      </c>
      <c r="C71" s="12">
        <v>3</v>
      </c>
      <c r="D71" s="8">
        <v>1.55</v>
      </c>
      <c r="E71" s="12">
        <v>3</v>
      </c>
      <c r="F71" s="8">
        <v>2.61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152</v>
      </c>
      <c r="C72" s="12">
        <v>3</v>
      </c>
      <c r="D72" s="8">
        <v>1.55</v>
      </c>
      <c r="E72" s="12">
        <v>2</v>
      </c>
      <c r="F72" s="8">
        <v>1.74</v>
      </c>
      <c r="G72" s="12">
        <v>0</v>
      </c>
      <c r="H72" s="8">
        <v>0</v>
      </c>
      <c r="I72" s="12">
        <v>1</v>
      </c>
    </row>
    <row r="73" spans="2:9" ht="15" customHeight="1" x14ac:dyDescent="0.2">
      <c r="B73" t="s">
        <v>180</v>
      </c>
      <c r="C73" s="12">
        <v>3</v>
      </c>
      <c r="D73" s="8">
        <v>1.55</v>
      </c>
      <c r="E73" s="12">
        <v>0</v>
      </c>
      <c r="F73" s="8">
        <v>0</v>
      </c>
      <c r="G73" s="12">
        <v>3</v>
      </c>
      <c r="H73" s="8">
        <v>4.17</v>
      </c>
      <c r="I73" s="12">
        <v>0</v>
      </c>
    </row>
    <row r="75" spans="2:9" ht="15" customHeight="1" x14ac:dyDescent="0.2">
      <c r="B75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D456-6B8E-4D29-99CD-B7C661BE3573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</v>
      </c>
      <c r="D6" s="8">
        <v>21.43</v>
      </c>
      <c r="E6" s="12">
        <v>13</v>
      </c>
      <c r="F6" s="8">
        <v>14.29</v>
      </c>
      <c r="G6" s="12">
        <v>26</v>
      </c>
      <c r="H6" s="8">
        <v>28.89</v>
      </c>
      <c r="I6" s="12">
        <v>0</v>
      </c>
    </row>
    <row r="7" spans="2:9" ht="15" customHeight="1" x14ac:dyDescent="0.2">
      <c r="B7" t="s">
        <v>53</v>
      </c>
      <c r="C7" s="12">
        <v>26</v>
      </c>
      <c r="D7" s="8">
        <v>14.29</v>
      </c>
      <c r="E7" s="12">
        <v>8</v>
      </c>
      <c r="F7" s="8">
        <v>8.7899999999999991</v>
      </c>
      <c r="G7" s="12">
        <v>18</v>
      </c>
      <c r="H7" s="8">
        <v>20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0.55000000000000004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45</v>
      </c>
      <c r="D11" s="8">
        <v>24.73</v>
      </c>
      <c r="E11" s="12">
        <v>23</v>
      </c>
      <c r="F11" s="8">
        <v>25.27</v>
      </c>
      <c r="G11" s="12">
        <v>22</v>
      </c>
      <c r="H11" s="8">
        <v>24.44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5</v>
      </c>
      <c r="D13" s="8">
        <v>2.75</v>
      </c>
      <c r="E13" s="12">
        <v>1</v>
      </c>
      <c r="F13" s="8">
        <v>1.1000000000000001</v>
      </c>
      <c r="G13" s="12">
        <v>4</v>
      </c>
      <c r="H13" s="8">
        <v>4.4400000000000004</v>
      </c>
      <c r="I13" s="12">
        <v>0</v>
      </c>
    </row>
    <row r="14" spans="2:9" ht="15" customHeight="1" x14ac:dyDescent="0.2">
      <c r="B14" t="s">
        <v>60</v>
      </c>
      <c r="C14" s="12">
        <v>5</v>
      </c>
      <c r="D14" s="8">
        <v>2.75</v>
      </c>
      <c r="E14" s="12">
        <v>2</v>
      </c>
      <c r="F14" s="8">
        <v>2.2000000000000002</v>
      </c>
      <c r="G14" s="12">
        <v>3</v>
      </c>
      <c r="H14" s="8">
        <v>3.33</v>
      </c>
      <c r="I14" s="12">
        <v>0</v>
      </c>
    </row>
    <row r="15" spans="2:9" ht="15" customHeight="1" x14ac:dyDescent="0.2">
      <c r="B15" t="s">
        <v>61</v>
      </c>
      <c r="C15" s="12">
        <v>33</v>
      </c>
      <c r="D15" s="8">
        <v>18.13</v>
      </c>
      <c r="E15" s="12">
        <v>25</v>
      </c>
      <c r="F15" s="8">
        <v>27.47</v>
      </c>
      <c r="G15" s="12">
        <v>8</v>
      </c>
      <c r="H15" s="8">
        <v>8.89</v>
      </c>
      <c r="I15" s="12">
        <v>0</v>
      </c>
    </row>
    <row r="16" spans="2:9" ht="15" customHeight="1" x14ac:dyDescent="0.2">
      <c r="B16" t="s">
        <v>62</v>
      </c>
      <c r="C16" s="12">
        <v>15</v>
      </c>
      <c r="D16" s="8">
        <v>8.24</v>
      </c>
      <c r="E16" s="12">
        <v>14</v>
      </c>
      <c r="F16" s="8">
        <v>15.38</v>
      </c>
      <c r="G16" s="12">
        <v>1</v>
      </c>
      <c r="H16" s="8">
        <v>1.1100000000000001</v>
      </c>
      <c r="I16" s="12">
        <v>0</v>
      </c>
    </row>
    <row r="17" spans="2:9" ht="15" customHeight="1" x14ac:dyDescent="0.2">
      <c r="B17" t="s">
        <v>63</v>
      </c>
      <c r="C17" s="12">
        <v>3</v>
      </c>
      <c r="D17" s="8">
        <v>1.65</v>
      </c>
      <c r="E17" s="12">
        <v>1</v>
      </c>
      <c r="F17" s="8">
        <v>1.1000000000000001</v>
      </c>
      <c r="G17" s="12">
        <v>2</v>
      </c>
      <c r="H17" s="8">
        <v>2.2200000000000002</v>
      </c>
      <c r="I17" s="12">
        <v>0</v>
      </c>
    </row>
    <row r="18" spans="2:9" ht="15" customHeight="1" x14ac:dyDescent="0.2">
      <c r="B18" t="s">
        <v>64</v>
      </c>
      <c r="C18" s="12">
        <v>1</v>
      </c>
      <c r="D18" s="8">
        <v>0.55000000000000004</v>
      </c>
      <c r="E18" s="12">
        <v>1</v>
      </c>
      <c r="F18" s="8">
        <v>1.1000000000000001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9</v>
      </c>
      <c r="D19" s="8">
        <v>4.95</v>
      </c>
      <c r="E19" s="12">
        <v>3</v>
      </c>
      <c r="F19" s="8">
        <v>3.3</v>
      </c>
      <c r="G19" s="12">
        <v>6</v>
      </c>
      <c r="H19" s="8">
        <v>6.67</v>
      </c>
      <c r="I19" s="12">
        <v>0</v>
      </c>
    </row>
    <row r="20" spans="2:9" ht="15" customHeight="1" x14ac:dyDescent="0.2">
      <c r="B20" s="9" t="s">
        <v>281</v>
      </c>
      <c r="C20" s="12">
        <f>SUM(LTBL_43432[総数／事業所数])</f>
        <v>182</v>
      </c>
      <c r="E20" s="12">
        <f>SUBTOTAL(109,LTBL_43432[個人／事業所数])</f>
        <v>91</v>
      </c>
      <c r="G20" s="12">
        <f>SUBTOTAL(109,LTBL_43432[法人／事業所数])</f>
        <v>90</v>
      </c>
      <c r="I20" s="12">
        <f>SUBTOTAL(109,LTBL_43432[法人以外の団体／事業所数])</f>
        <v>0</v>
      </c>
    </row>
    <row r="21" spans="2:9" ht="15" customHeight="1" x14ac:dyDescent="0.2">
      <c r="E21" s="11">
        <f>LTBL_43432[[#Totals],[個人／事業所数]]/LTBL_43432[[#Totals],[総数／事業所数]]</f>
        <v>0.5</v>
      </c>
      <c r="G21" s="11">
        <f>LTBL_43432[[#Totals],[法人／事業所数]]/LTBL_43432[[#Totals],[総数／事業所数]]</f>
        <v>0.49450549450549453</v>
      </c>
      <c r="I21" s="11">
        <f>LTBL_43432[[#Totals],[法人以外の団体／事業所数]]/LTBL_43432[[#Totals],[総数／事業所数]]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28</v>
      </c>
      <c r="D24" s="8">
        <v>15.38</v>
      </c>
      <c r="E24" s="12">
        <v>20</v>
      </c>
      <c r="F24" s="8">
        <v>21.98</v>
      </c>
      <c r="G24" s="12">
        <v>8</v>
      </c>
      <c r="H24" s="8">
        <v>8.89</v>
      </c>
      <c r="I24" s="12">
        <v>0</v>
      </c>
    </row>
    <row r="25" spans="2:9" ht="15" customHeight="1" x14ac:dyDescent="0.2">
      <c r="B25" t="s">
        <v>74</v>
      </c>
      <c r="C25" s="12">
        <v>25</v>
      </c>
      <c r="D25" s="8">
        <v>13.74</v>
      </c>
      <c r="E25" s="12">
        <v>5</v>
      </c>
      <c r="F25" s="8">
        <v>5.49</v>
      </c>
      <c r="G25" s="12">
        <v>20</v>
      </c>
      <c r="H25" s="8">
        <v>22.22</v>
      </c>
      <c r="I25" s="12">
        <v>0</v>
      </c>
    </row>
    <row r="26" spans="2:9" ht="15" customHeight="1" x14ac:dyDescent="0.2">
      <c r="B26" t="s">
        <v>83</v>
      </c>
      <c r="C26" s="12">
        <v>17</v>
      </c>
      <c r="D26" s="8">
        <v>9.34</v>
      </c>
      <c r="E26" s="12">
        <v>10</v>
      </c>
      <c r="F26" s="8">
        <v>10.99</v>
      </c>
      <c r="G26" s="12">
        <v>7</v>
      </c>
      <c r="H26" s="8">
        <v>7.78</v>
      </c>
      <c r="I26" s="12">
        <v>0</v>
      </c>
    </row>
    <row r="27" spans="2:9" ht="15" customHeight="1" x14ac:dyDescent="0.2">
      <c r="B27" t="s">
        <v>89</v>
      </c>
      <c r="C27" s="12">
        <v>13</v>
      </c>
      <c r="D27" s="8">
        <v>7.14</v>
      </c>
      <c r="E27" s="12">
        <v>13</v>
      </c>
      <c r="F27" s="8">
        <v>14.29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75</v>
      </c>
      <c r="C28" s="12">
        <v>11</v>
      </c>
      <c r="D28" s="8">
        <v>6.04</v>
      </c>
      <c r="E28" s="12">
        <v>7</v>
      </c>
      <c r="F28" s="8">
        <v>7.69</v>
      </c>
      <c r="G28" s="12">
        <v>4</v>
      </c>
      <c r="H28" s="8">
        <v>4.4400000000000004</v>
      </c>
      <c r="I28" s="12">
        <v>0</v>
      </c>
    </row>
    <row r="29" spans="2:9" ht="15" customHeight="1" x14ac:dyDescent="0.2">
      <c r="B29" t="s">
        <v>81</v>
      </c>
      <c r="C29" s="12">
        <v>8</v>
      </c>
      <c r="D29" s="8">
        <v>4.4000000000000004</v>
      </c>
      <c r="E29" s="12">
        <v>5</v>
      </c>
      <c r="F29" s="8">
        <v>5.49</v>
      </c>
      <c r="G29" s="12">
        <v>3</v>
      </c>
      <c r="H29" s="8">
        <v>3.33</v>
      </c>
      <c r="I29" s="12">
        <v>0</v>
      </c>
    </row>
    <row r="30" spans="2:9" ht="15" customHeight="1" x14ac:dyDescent="0.2">
      <c r="B30" t="s">
        <v>82</v>
      </c>
      <c r="C30" s="12">
        <v>6</v>
      </c>
      <c r="D30" s="8">
        <v>3.3</v>
      </c>
      <c r="E30" s="12">
        <v>4</v>
      </c>
      <c r="F30" s="8">
        <v>4.4000000000000004</v>
      </c>
      <c r="G30" s="12">
        <v>2</v>
      </c>
      <c r="H30" s="8">
        <v>2.2200000000000002</v>
      </c>
      <c r="I30" s="12">
        <v>0</v>
      </c>
    </row>
    <row r="31" spans="2:9" ht="15" customHeight="1" x14ac:dyDescent="0.2">
      <c r="B31" t="s">
        <v>77</v>
      </c>
      <c r="C31" s="12">
        <v>5</v>
      </c>
      <c r="D31" s="8">
        <v>2.75</v>
      </c>
      <c r="E31" s="12">
        <v>1</v>
      </c>
      <c r="F31" s="8">
        <v>1.1000000000000001</v>
      </c>
      <c r="G31" s="12">
        <v>4</v>
      </c>
      <c r="H31" s="8">
        <v>4.4400000000000004</v>
      </c>
      <c r="I31" s="12">
        <v>0</v>
      </c>
    </row>
    <row r="32" spans="2:9" ht="15" customHeight="1" x14ac:dyDescent="0.2">
      <c r="B32" t="s">
        <v>110</v>
      </c>
      <c r="C32" s="12">
        <v>5</v>
      </c>
      <c r="D32" s="8">
        <v>2.75</v>
      </c>
      <c r="E32" s="12">
        <v>2</v>
      </c>
      <c r="F32" s="8">
        <v>2.2000000000000002</v>
      </c>
      <c r="G32" s="12">
        <v>3</v>
      </c>
      <c r="H32" s="8">
        <v>3.33</v>
      </c>
      <c r="I32" s="12">
        <v>0</v>
      </c>
    </row>
    <row r="33" spans="2:9" ht="15" customHeight="1" x14ac:dyDescent="0.2">
      <c r="B33" t="s">
        <v>102</v>
      </c>
      <c r="C33" s="12">
        <v>5</v>
      </c>
      <c r="D33" s="8">
        <v>2.75</v>
      </c>
      <c r="E33" s="12">
        <v>1</v>
      </c>
      <c r="F33" s="8">
        <v>1.1000000000000001</v>
      </c>
      <c r="G33" s="12">
        <v>4</v>
      </c>
      <c r="H33" s="8">
        <v>4.4400000000000004</v>
      </c>
      <c r="I33" s="12">
        <v>0</v>
      </c>
    </row>
    <row r="34" spans="2:9" ht="15" customHeight="1" x14ac:dyDescent="0.2">
      <c r="B34" t="s">
        <v>78</v>
      </c>
      <c r="C34" s="12">
        <v>4</v>
      </c>
      <c r="D34" s="8">
        <v>2.2000000000000002</v>
      </c>
      <c r="E34" s="12">
        <v>0</v>
      </c>
      <c r="F34" s="8">
        <v>0</v>
      </c>
      <c r="G34" s="12">
        <v>4</v>
      </c>
      <c r="H34" s="8">
        <v>4.4400000000000004</v>
      </c>
      <c r="I34" s="12">
        <v>0</v>
      </c>
    </row>
    <row r="35" spans="2:9" ht="15" customHeight="1" x14ac:dyDescent="0.2">
      <c r="B35" t="s">
        <v>80</v>
      </c>
      <c r="C35" s="12">
        <v>4</v>
      </c>
      <c r="D35" s="8">
        <v>2.2000000000000002</v>
      </c>
      <c r="E35" s="12">
        <v>4</v>
      </c>
      <c r="F35" s="8">
        <v>4.4000000000000004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86</v>
      </c>
      <c r="C36" s="12">
        <v>4</v>
      </c>
      <c r="D36" s="8">
        <v>2.2000000000000002</v>
      </c>
      <c r="E36" s="12">
        <v>2</v>
      </c>
      <c r="F36" s="8">
        <v>2.2000000000000002</v>
      </c>
      <c r="G36" s="12">
        <v>2</v>
      </c>
      <c r="H36" s="8">
        <v>2.2200000000000002</v>
      </c>
      <c r="I36" s="12">
        <v>0</v>
      </c>
    </row>
    <row r="37" spans="2:9" ht="15" customHeight="1" x14ac:dyDescent="0.2">
      <c r="B37" t="s">
        <v>76</v>
      </c>
      <c r="C37" s="12">
        <v>3</v>
      </c>
      <c r="D37" s="8">
        <v>1.65</v>
      </c>
      <c r="E37" s="12">
        <v>1</v>
      </c>
      <c r="F37" s="8">
        <v>1.1000000000000001</v>
      </c>
      <c r="G37" s="12">
        <v>2</v>
      </c>
      <c r="H37" s="8">
        <v>2.2200000000000002</v>
      </c>
      <c r="I37" s="12">
        <v>0</v>
      </c>
    </row>
    <row r="38" spans="2:9" ht="15" customHeight="1" x14ac:dyDescent="0.2">
      <c r="B38" t="s">
        <v>106</v>
      </c>
      <c r="C38" s="12">
        <v>3</v>
      </c>
      <c r="D38" s="8">
        <v>1.65</v>
      </c>
      <c r="E38" s="12">
        <v>3</v>
      </c>
      <c r="F38" s="8">
        <v>3.3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90</v>
      </c>
      <c r="C39" s="12">
        <v>3</v>
      </c>
      <c r="D39" s="8">
        <v>1.65</v>
      </c>
      <c r="E39" s="12">
        <v>1</v>
      </c>
      <c r="F39" s="8">
        <v>1.1000000000000001</v>
      </c>
      <c r="G39" s="12">
        <v>2</v>
      </c>
      <c r="H39" s="8">
        <v>2.2200000000000002</v>
      </c>
      <c r="I39" s="12">
        <v>0</v>
      </c>
    </row>
    <row r="40" spans="2:9" ht="15" customHeight="1" x14ac:dyDescent="0.2">
      <c r="B40" t="s">
        <v>93</v>
      </c>
      <c r="C40" s="12">
        <v>3</v>
      </c>
      <c r="D40" s="8">
        <v>1.65</v>
      </c>
      <c r="E40" s="12">
        <v>2</v>
      </c>
      <c r="F40" s="8">
        <v>2.2000000000000002</v>
      </c>
      <c r="G40" s="12">
        <v>1</v>
      </c>
      <c r="H40" s="8">
        <v>1.1100000000000001</v>
      </c>
      <c r="I40" s="12">
        <v>0</v>
      </c>
    </row>
    <row r="41" spans="2:9" ht="15" customHeight="1" x14ac:dyDescent="0.2">
      <c r="B41" t="s">
        <v>95</v>
      </c>
      <c r="C41" s="12">
        <v>3</v>
      </c>
      <c r="D41" s="8">
        <v>1.65</v>
      </c>
      <c r="E41" s="12">
        <v>0</v>
      </c>
      <c r="F41" s="8">
        <v>0</v>
      </c>
      <c r="G41" s="12">
        <v>3</v>
      </c>
      <c r="H41" s="8">
        <v>3.33</v>
      </c>
      <c r="I41" s="12">
        <v>0</v>
      </c>
    </row>
    <row r="42" spans="2:9" ht="15" customHeight="1" x14ac:dyDescent="0.2">
      <c r="B42" t="s">
        <v>109</v>
      </c>
      <c r="C42" s="12">
        <v>2</v>
      </c>
      <c r="D42" s="8">
        <v>1.1000000000000001</v>
      </c>
      <c r="E42" s="12">
        <v>0</v>
      </c>
      <c r="F42" s="8">
        <v>0</v>
      </c>
      <c r="G42" s="12">
        <v>2</v>
      </c>
      <c r="H42" s="8">
        <v>2.2200000000000002</v>
      </c>
      <c r="I42" s="12">
        <v>0</v>
      </c>
    </row>
    <row r="43" spans="2:9" ht="15" customHeight="1" x14ac:dyDescent="0.2">
      <c r="B43" t="s">
        <v>111</v>
      </c>
      <c r="C43" s="12">
        <v>2</v>
      </c>
      <c r="D43" s="8">
        <v>1.1000000000000001</v>
      </c>
      <c r="E43" s="12">
        <v>2</v>
      </c>
      <c r="F43" s="8">
        <v>2.2000000000000002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125</v>
      </c>
      <c r="C44" s="12">
        <v>2</v>
      </c>
      <c r="D44" s="8">
        <v>1.1000000000000001</v>
      </c>
      <c r="E44" s="12">
        <v>1</v>
      </c>
      <c r="F44" s="8">
        <v>1.1000000000000001</v>
      </c>
      <c r="G44" s="12">
        <v>1</v>
      </c>
      <c r="H44" s="8">
        <v>1.1100000000000001</v>
      </c>
      <c r="I44" s="12">
        <v>0</v>
      </c>
    </row>
    <row r="45" spans="2:9" ht="15" customHeight="1" x14ac:dyDescent="0.2">
      <c r="B45" t="s">
        <v>79</v>
      </c>
      <c r="C45" s="12">
        <v>2</v>
      </c>
      <c r="D45" s="8">
        <v>1.1000000000000001</v>
      </c>
      <c r="E45" s="12">
        <v>0</v>
      </c>
      <c r="F45" s="8">
        <v>0</v>
      </c>
      <c r="G45" s="12">
        <v>2</v>
      </c>
      <c r="H45" s="8">
        <v>2.2200000000000002</v>
      </c>
      <c r="I45" s="12">
        <v>0</v>
      </c>
    </row>
    <row r="46" spans="2:9" ht="15" customHeight="1" x14ac:dyDescent="0.2">
      <c r="B46" t="s">
        <v>85</v>
      </c>
      <c r="C46" s="12">
        <v>2</v>
      </c>
      <c r="D46" s="8">
        <v>1.1000000000000001</v>
      </c>
      <c r="E46" s="12">
        <v>1</v>
      </c>
      <c r="F46" s="8">
        <v>1.1000000000000001</v>
      </c>
      <c r="G46" s="12">
        <v>1</v>
      </c>
      <c r="H46" s="8">
        <v>1.1100000000000001</v>
      </c>
      <c r="I46" s="12">
        <v>0</v>
      </c>
    </row>
    <row r="47" spans="2:9" ht="15" customHeight="1" x14ac:dyDescent="0.2">
      <c r="B47" t="s">
        <v>117</v>
      </c>
      <c r="C47" s="12">
        <v>2</v>
      </c>
      <c r="D47" s="8">
        <v>1.1000000000000001</v>
      </c>
      <c r="E47" s="12">
        <v>0</v>
      </c>
      <c r="F47" s="8">
        <v>0</v>
      </c>
      <c r="G47" s="12">
        <v>2</v>
      </c>
      <c r="H47" s="8">
        <v>2.2200000000000002</v>
      </c>
      <c r="I47" s="12">
        <v>0</v>
      </c>
    </row>
    <row r="48" spans="2:9" ht="15" customHeight="1" x14ac:dyDescent="0.2">
      <c r="B48" t="s">
        <v>101</v>
      </c>
      <c r="C48" s="12">
        <v>2</v>
      </c>
      <c r="D48" s="8">
        <v>1.1000000000000001</v>
      </c>
      <c r="E48" s="12">
        <v>2</v>
      </c>
      <c r="F48" s="8">
        <v>2.2000000000000002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126</v>
      </c>
      <c r="C49" s="12">
        <v>2</v>
      </c>
      <c r="D49" s="8">
        <v>1.1000000000000001</v>
      </c>
      <c r="E49" s="12">
        <v>1</v>
      </c>
      <c r="F49" s="8">
        <v>1.1000000000000001</v>
      </c>
      <c r="G49" s="12">
        <v>1</v>
      </c>
      <c r="H49" s="8">
        <v>1.1100000000000001</v>
      </c>
      <c r="I49" s="12">
        <v>0</v>
      </c>
    </row>
    <row r="52" spans="2:9" ht="33" customHeight="1" x14ac:dyDescent="0.2">
      <c r="B52" t="s">
        <v>283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2">
      <c r="B53" t="s">
        <v>147</v>
      </c>
      <c r="C53" s="12">
        <v>15</v>
      </c>
      <c r="D53" s="8">
        <v>8.24</v>
      </c>
      <c r="E53" s="12">
        <v>8</v>
      </c>
      <c r="F53" s="8">
        <v>8.7899999999999991</v>
      </c>
      <c r="G53" s="12">
        <v>7</v>
      </c>
      <c r="H53" s="8">
        <v>7.78</v>
      </c>
      <c r="I53" s="12">
        <v>0</v>
      </c>
    </row>
    <row r="54" spans="2:9" ht="15" customHeight="1" x14ac:dyDescent="0.2">
      <c r="B54" t="s">
        <v>135</v>
      </c>
      <c r="C54" s="12">
        <v>14</v>
      </c>
      <c r="D54" s="8">
        <v>7.69</v>
      </c>
      <c r="E54" s="12">
        <v>0</v>
      </c>
      <c r="F54" s="8">
        <v>0</v>
      </c>
      <c r="G54" s="12">
        <v>14</v>
      </c>
      <c r="H54" s="8">
        <v>15.56</v>
      </c>
      <c r="I54" s="12">
        <v>0</v>
      </c>
    </row>
    <row r="55" spans="2:9" ht="15" customHeight="1" x14ac:dyDescent="0.2">
      <c r="B55" t="s">
        <v>137</v>
      </c>
      <c r="C55" s="12">
        <v>7</v>
      </c>
      <c r="D55" s="8">
        <v>3.85</v>
      </c>
      <c r="E55" s="12">
        <v>4</v>
      </c>
      <c r="F55" s="8">
        <v>4.4000000000000004</v>
      </c>
      <c r="G55" s="12">
        <v>3</v>
      </c>
      <c r="H55" s="8">
        <v>3.33</v>
      </c>
      <c r="I55" s="12">
        <v>0</v>
      </c>
    </row>
    <row r="56" spans="2:9" ht="15" customHeight="1" x14ac:dyDescent="0.2">
      <c r="B56" t="s">
        <v>150</v>
      </c>
      <c r="C56" s="12">
        <v>6</v>
      </c>
      <c r="D56" s="8">
        <v>3.3</v>
      </c>
      <c r="E56" s="12">
        <v>6</v>
      </c>
      <c r="F56" s="8">
        <v>6.59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151</v>
      </c>
      <c r="C57" s="12">
        <v>6</v>
      </c>
      <c r="D57" s="8">
        <v>3.3</v>
      </c>
      <c r="E57" s="12">
        <v>6</v>
      </c>
      <c r="F57" s="8">
        <v>6.59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140</v>
      </c>
      <c r="C58" s="12">
        <v>5</v>
      </c>
      <c r="D58" s="8">
        <v>2.75</v>
      </c>
      <c r="E58" s="12">
        <v>3</v>
      </c>
      <c r="F58" s="8">
        <v>3.3</v>
      </c>
      <c r="G58" s="12">
        <v>2</v>
      </c>
      <c r="H58" s="8">
        <v>2.2200000000000002</v>
      </c>
      <c r="I58" s="12">
        <v>0</v>
      </c>
    </row>
    <row r="59" spans="2:9" ht="15" customHeight="1" x14ac:dyDescent="0.2">
      <c r="B59" t="s">
        <v>141</v>
      </c>
      <c r="C59" s="12">
        <v>5</v>
      </c>
      <c r="D59" s="8">
        <v>2.75</v>
      </c>
      <c r="E59" s="12">
        <v>3</v>
      </c>
      <c r="F59" s="8">
        <v>3.3</v>
      </c>
      <c r="G59" s="12">
        <v>2</v>
      </c>
      <c r="H59" s="8">
        <v>2.2200000000000002</v>
      </c>
      <c r="I59" s="12">
        <v>0</v>
      </c>
    </row>
    <row r="60" spans="2:9" ht="15" customHeight="1" x14ac:dyDescent="0.2">
      <c r="B60" t="s">
        <v>136</v>
      </c>
      <c r="C60" s="12">
        <v>4</v>
      </c>
      <c r="D60" s="8">
        <v>2.2000000000000002</v>
      </c>
      <c r="E60" s="12">
        <v>1</v>
      </c>
      <c r="F60" s="8">
        <v>1.1000000000000001</v>
      </c>
      <c r="G60" s="12">
        <v>3</v>
      </c>
      <c r="H60" s="8">
        <v>3.33</v>
      </c>
      <c r="I60" s="12">
        <v>0</v>
      </c>
    </row>
    <row r="61" spans="2:9" ht="15" customHeight="1" x14ac:dyDescent="0.2">
      <c r="B61" t="s">
        <v>229</v>
      </c>
      <c r="C61" s="12">
        <v>4</v>
      </c>
      <c r="D61" s="8">
        <v>2.2000000000000002</v>
      </c>
      <c r="E61" s="12">
        <v>2</v>
      </c>
      <c r="F61" s="8">
        <v>2.2000000000000002</v>
      </c>
      <c r="G61" s="12">
        <v>2</v>
      </c>
      <c r="H61" s="8">
        <v>2.2200000000000002</v>
      </c>
      <c r="I61" s="12">
        <v>0</v>
      </c>
    </row>
    <row r="62" spans="2:9" ht="15" customHeight="1" x14ac:dyDescent="0.2">
      <c r="B62" t="s">
        <v>143</v>
      </c>
      <c r="C62" s="12">
        <v>4</v>
      </c>
      <c r="D62" s="8">
        <v>2.2000000000000002</v>
      </c>
      <c r="E62" s="12">
        <v>3</v>
      </c>
      <c r="F62" s="8">
        <v>3.3</v>
      </c>
      <c r="G62" s="12">
        <v>1</v>
      </c>
      <c r="H62" s="8">
        <v>1.1100000000000001</v>
      </c>
      <c r="I62" s="12">
        <v>0</v>
      </c>
    </row>
    <row r="63" spans="2:9" ht="15" customHeight="1" x14ac:dyDescent="0.2">
      <c r="B63" t="s">
        <v>209</v>
      </c>
      <c r="C63" s="12">
        <v>4</v>
      </c>
      <c r="D63" s="8">
        <v>2.2000000000000002</v>
      </c>
      <c r="E63" s="12">
        <v>4</v>
      </c>
      <c r="F63" s="8">
        <v>4.4000000000000004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184</v>
      </c>
      <c r="C64" s="12">
        <v>3</v>
      </c>
      <c r="D64" s="8">
        <v>1.65</v>
      </c>
      <c r="E64" s="12">
        <v>1</v>
      </c>
      <c r="F64" s="8">
        <v>1.1000000000000001</v>
      </c>
      <c r="G64" s="12">
        <v>2</v>
      </c>
      <c r="H64" s="8">
        <v>2.2200000000000002</v>
      </c>
      <c r="I64" s="12">
        <v>0</v>
      </c>
    </row>
    <row r="65" spans="2:9" ht="15" customHeight="1" x14ac:dyDescent="0.2">
      <c r="B65" t="s">
        <v>190</v>
      </c>
      <c r="C65" s="12">
        <v>3</v>
      </c>
      <c r="D65" s="8">
        <v>1.65</v>
      </c>
      <c r="E65" s="12">
        <v>1</v>
      </c>
      <c r="F65" s="8">
        <v>1.1000000000000001</v>
      </c>
      <c r="G65" s="12">
        <v>2</v>
      </c>
      <c r="H65" s="8">
        <v>2.2200000000000002</v>
      </c>
      <c r="I65" s="12">
        <v>0</v>
      </c>
    </row>
    <row r="66" spans="2:9" ht="15" customHeight="1" x14ac:dyDescent="0.2">
      <c r="B66" t="s">
        <v>192</v>
      </c>
      <c r="C66" s="12">
        <v>3</v>
      </c>
      <c r="D66" s="8">
        <v>1.65</v>
      </c>
      <c r="E66" s="12">
        <v>1</v>
      </c>
      <c r="F66" s="8">
        <v>1.1000000000000001</v>
      </c>
      <c r="G66" s="12">
        <v>2</v>
      </c>
      <c r="H66" s="8">
        <v>2.2200000000000002</v>
      </c>
      <c r="I66" s="12">
        <v>0</v>
      </c>
    </row>
    <row r="67" spans="2:9" ht="15" customHeight="1" x14ac:dyDescent="0.2">
      <c r="B67" t="s">
        <v>195</v>
      </c>
      <c r="C67" s="12">
        <v>3</v>
      </c>
      <c r="D67" s="8">
        <v>1.65</v>
      </c>
      <c r="E67" s="12">
        <v>0</v>
      </c>
      <c r="F67" s="8">
        <v>0</v>
      </c>
      <c r="G67" s="12">
        <v>3</v>
      </c>
      <c r="H67" s="8">
        <v>3.33</v>
      </c>
      <c r="I67" s="12">
        <v>0</v>
      </c>
    </row>
    <row r="68" spans="2:9" ht="15" customHeight="1" x14ac:dyDescent="0.2">
      <c r="B68" t="s">
        <v>203</v>
      </c>
      <c r="C68" s="12">
        <v>3</v>
      </c>
      <c r="D68" s="8">
        <v>1.65</v>
      </c>
      <c r="E68" s="12">
        <v>2</v>
      </c>
      <c r="F68" s="8">
        <v>2.2000000000000002</v>
      </c>
      <c r="G68" s="12">
        <v>1</v>
      </c>
      <c r="H68" s="8">
        <v>1.1100000000000001</v>
      </c>
      <c r="I68" s="12">
        <v>0</v>
      </c>
    </row>
    <row r="69" spans="2:9" ht="15" customHeight="1" x14ac:dyDescent="0.2">
      <c r="B69" t="s">
        <v>168</v>
      </c>
      <c r="C69" s="12">
        <v>3</v>
      </c>
      <c r="D69" s="8">
        <v>1.65</v>
      </c>
      <c r="E69" s="12">
        <v>0</v>
      </c>
      <c r="F69" s="8">
        <v>0</v>
      </c>
      <c r="G69" s="12">
        <v>3</v>
      </c>
      <c r="H69" s="8">
        <v>3.33</v>
      </c>
      <c r="I69" s="12">
        <v>0</v>
      </c>
    </row>
    <row r="70" spans="2:9" ht="15" customHeight="1" x14ac:dyDescent="0.2">
      <c r="B70" t="s">
        <v>170</v>
      </c>
      <c r="C70" s="12">
        <v>3</v>
      </c>
      <c r="D70" s="8">
        <v>1.65</v>
      </c>
      <c r="E70" s="12">
        <v>2</v>
      </c>
      <c r="F70" s="8">
        <v>2.2000000000000002</v>
      </c>
      <c r="G70" s="12">
        <v>1</v>
      </c>
      <c r="H70" s="8">
        <v>1.1100000000000001</v>
      </c>
      <c r="I70" s="12">
        <v>0</v>
      </c>
    </row>
    <row r="71" spans="2:9" ht="15" customHeight="1" x14ac:dyDescent="0.2">
      <c r="B71" t="s">
        <v>148</v>
      </c>
      <c r="C71" s="12">
        <v>3</v>
      </c>
      <c r="D71" s="8">
        <v>1.65</v>
      </c>
      <c r="E71" s="12">
        <v>3</v>
      </c>
      <c r="F71" s="8">
        <v>3.3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154</v>
      </c>
      <c r="C72" s="12">
        <v>3</v>
      </c>
      <c r="D72" s="8">
        <v>1.65</v>
      </c>
      <c r="E72" s="12">
        <v>2</v>
      </c>
      <c r="F72" s="8">
        <v>2.2000000000000002</v>
      </c>
      <c r="G72" s="12">
        <v>1</v>
      </c>
      <c r="H72" s="8">
        <v>1.1100000000000001</v>
      </c>
      <c r="I72" s="12">
        <v>0</v>
      </c>
    </row>
    <row r="73" spans="2:9" ht="15" customHeight="1" x14ac:dyDescent="0.2">
      <c r="B73" t="s">
        <v>212</v>
      </c>
      <c r="C73" s="12">
        <v>3</v>
      </c>
      <c r="D73" s="8">
        <v>1.65</v>
      </c>
      <c r="E73" s="12">
        <v>0</v>
      </c>
      <c r="F73" s="8">
        <v>0</v>
      </c>
      <c r="G73" s="12">
        <v>3</v>
      </c>
      <c r="H73" s="8">
        <v>3.33</v>
      </c>
      <c r="I73" s="12">
        <v>0</v>
      </c>
    </row>
    <row r="75" spans="2:9" ht="15" customHeight="1" x14ac:dyDescent="0.2">
      <c r="B75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2F6A-075D-4893-A2EA-DBE5414EA11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41</v>
      </c>
      <c r="D6" s="8">
        <v>12.39</v>
      </c>
      <c r="E6" s="12">
        <v>8</v>
      </c>
      <c r="F6" s="8">
        <v>3.72</v>
      </c>
      <c r="G6" s="12">
        <v>33</v>
      </c>
      <c r="H6" s="8">
        <v>30</v>
      </c>
      <c r="I6" s="12">
        <v>0</v>
      </c>
    </row>
    <row r="7" spans="2:9" ht="15" customHeight="1" x14ac:dyDescent="0.2">
      <c r="B7" t="s">
        <v>53</v>
      </c>
      <c r="C7" s="12">
        <v>18</v>
      </c>
      <c r="D7" s="8">
        <v>5.44</v>
      </c>
      <c r="E7" s="12">
        <v>11</v>
      </c>
      <c r="F7" s="8">
        <v>5.12</v>
      </c>
      <c r="G7" s="12">
        <v>7</v>
      </c>
      <c r="H7" s="8">
        <v>6.36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1.21</v>
      </c>
      <c r="E9" s="12">
        <v>0</v>
      </c>
      <c r="F9" s="8">
        <v>0</v>
      </c>
      <c r="G9" s="12">
        <v>4</v>
      </c>
      <c r="H9" s="8">
        <v>3.64</v>
      </c>
      <c r="I9" s="12">
        <v>0</v>
      </c>
    </row>
    <row r="10" spans="2:9" ht="15" customHeight="1" x14ac:dyDescent="0.2">
      <c r="B10" t="s">
        <v>56</v>
      </c>
      <c r="C10" s="12">
        <v>5</v>
      </c>
      <c r="D10" s="8">
        <v>1.51</v>
      </c>
      <c r="E10" s="12">
        <v>0</v>
      </c>
      <c r="F10" s="8">
        <v>0</v>
      </c>
      <c r="G10" s="12">
        <v>4</v>
      </c>
      <c r="H10" s="8">
        <v>3.64</v>
      </c>
      <c r="I10" s="12">
        <v>0</v>
      </c>
    </row>
    <row r="11" spans="2:9" ht="15" customHeight="1" x14ac:dyDescent="0.2">
      <c r="B11" t="s">
        <v>57</v>
      </c>
      <c r="C11" s="12">
        <v>86</v>
      </c>
      <c r="D11" s="8">
        <v>25.98</v>
      </c>
      <c r="E11" s="12">
        <v>57</v>
      </c>
      <c r="F11" s="8">
        <v>26.51</v>
      </c>
      <c r="G11" s="12">
        <v>29</v>
      </c>
      <c r="H11" s="8">
        <v>26.36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15</v>
      </c>
      <c r="D13" s="8">
        <v>4.53</v>
      </c>
      <c r="E13" s="12">
        <v>4</v>
      </c>
      <c r="F13" s="8">
        <v>1.86</v>
      </c>
      <c r="G13" s="12">
        <v>10</v>
      </c>
      <c r="H13" s="8">
        <v>9.09</v>
      </c>
      <c r="I13" s="12">
        <v>0</v>
      </c>
    </row>
    <row r="14" spans="2:9" ht="15" customHeight="1" x14ac:dyDescent="0.2">
      <c r="B14" t="s">
        <v>60</v>
      </c>
      <c r="C14" s="12">
        <v>11</v>
      </c>
      <c r="D14" s="8">
        <v>3.32</v>
      </c>
      <c r="E14" s="12">
        <v>4</v>
      </c>
      <c r="F14" s="8">
        <v>1.86</v>
      </c>
      <c r="G14" s="12">
        <v>6</v>
      </c>
      <c r="H14" s="8">
        <v>5.45</v>
      </c>
      <c r="I14" s="12">
        <v>0</v>
      </c>
    </row>
    <row r="15" spans="2:9" ht="15" customHeight="1" x14ac:dyDescent="0.2">
      <c r="B15" t="s">
        <v>61</v>
      </c>
      <c r="C15" s="12">
        <v>88</v>
      </c>
      <c r="D15" s="8">
        <v>26.59</v>
      </c>
      <c r="E15" s="12">
        <v>80</v>
      </c>
      <c r="F15" s="8">
        <v>37.21</v>
      </c>
      <c r="G15" s="12">
        <v>8</v>
      </c>
      <c r="H15" s="8">
        <v>7.27</v>
      </c>
      <c r="I15" s="12">
        <v>0</v>
      </c>
    </row>
    <row r="16" spans="2:9" ht="15" customHeight="1" x14ac:dyDescent="0.2">
      <c r="B16" t="s">
        <v>62</v>
      </c>
      <c r="C16" s="12">
        <v>33</v>
      </c>
      <c r="D16" s="8">
        <v>9.9700000000000006</v>
      </c>
      <c r="E16" s="12">
        <v>29</v>
      </c>
      <c r="F16" s="8">
        <v>13.49</v>
      </c>
      <c r="G16" s="12">
        <v>3</v>
      </c>
      <c r="H16" s="8">
        <v>2.73</v>
      </c>
      <c r="I16" s="12">
        <v>0</v>
      </c>
    </row>
    <row r="17" spans="2:9" ht="15" customHeight="1" x14ac:dyDescent="0.2">
      <c r="B17" t="s">
        <v>63</v>
      </c>
      <c r="C17" s="12">
        <v>9</v>
      </c>
      <c r="D17" s="8">
        <v>2.72</v>
      </c>
      <c r="E17" s="12">
        <v>7</v>
      </c>
      <c r="F17" s="8">
        <v>3.26</v>
      </c>
      <c r="G17" s="12">
        <v>2</v>
      </c>
      <c r="H17" s="8">
        <v>1.82</v>
      </c>
      <c r="I17" s="12">
        <v>0</v>
      </c>
    </row>
    <row r="18" spans="2:9" ht="15" customHeight="1" x14ac:dyDescent="0.2">
      <c r="B18" t="s">
        <v>64</v>
      </c>
      <c r="C18" s="12">
        <v>10</v>
      </c>
      <c r="D18" s="8">
        <v>3.02</v>
      </c>
      <c r="E18" s="12">
        <v>7</v>
      </c>
      <c r="F18" s="8">
        <v>3.26</v>
      </c>
      <c r="G18" s="12">
        <v>2</v>
      </c>
      <c r="H18" s="8">
        <v>1.82</v>
      </c>
      <c r="I18" s="12">
        <v>0</v>
      </c>
    </row>
    <row r="19" spans="2:9" ht="15" customHeight="1" x14ac:dyDescent="0.2">
      <c r="B19" t="s">
        <v>65</v>
      </c>
      <c r="C19" s="12">
        <v>11</v>
      </c>
      <c r="D19" s="8">
        <v>3.32</v>
      </c>
      <c r="E19" s="12">
        <v>8</v>
      </c>
      <c r="F19" s="8">
        <v>3.72</v>
      </c>
      <c r="G19" s="12">
        <v>2</v>
      </c>
      <c r="H19" s="8">
        <v>1.82</v>
      </c>
      <c r="I19" s="12">
        <v>1</v>
      </c>
    </row>
    <row r="20" spans="2:9" ht="15" customHeight="1" x14ac:dyDescent="0.2">
      <c r="B20" s="9" t="s">
        <v>281</v>
      </c>
      <c r="C20" s="12">
        <f>SUM(LTBL_43433[総数／事業所数])</f>
        <v>331</v>
      </c>
      <c r="E20" s="12">
        <f>SUBTOTAL(109,LTBL_43433[個人／事業所数])</f>
        <v>215</v>
      </c>
      <c r="G20" s="12">
        <f>SUBTOTAL(109,LTBL_43433[法人／事業所数])</f>
        <v>110</v>
      </c>
      <c r="I20" s="12">
        <f>SUBTOTAL(109,LTBL_43433[法人以外の団体／事業所数])</f>
        <v>1</v>
      </c>
    </row>
    <row r="21" spans="2:9" ht="15" customHeight="1" x14ac:dyDescent="0.2">
      <c r="E21" s="11">
        <f>LTBL_43433[[#Totals],[個人／事業所数]]/LTBL_43433[[#Totals],[総数／事業所数]]</f>
        <v>0.64954682779456197</v>
      </c>
      <c r="G21" s="11">
        <f>LTBL_43433[[#Totals],[法人／事業所数]]/LTBL_43433[[#Totals],[総数／事業所数]]</f>
        <v>0.33232628398791542</v>
      </c>
      <c r="I21" s="11">
        <f>LTBL_43433[[#Totals],[法人以外の団体／事業所数]]/LTBL_43433[[#Totals],[総数／事業所数]]</f>
        <v>3.0211480362537764E-3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61</v>
      </c>
      <c r="D24" s="8">
        <v>18.43</v>
      </c>
      <c r="E24" s="12">
        <v>55</v>
      </c>
      <c r="F24" s="8">
        <v>25.58</v>
      </c>
      <c r="G24" s="12">
        <v>6</v>
      </c>
      <c r="H24" s="8">
        <v>5.45</v>
      </c>
      <c r="I24" s="12">
        <v>0</v>
      </c>
    </row>
    <row r="25" spans="2:9" ht="15" customHeight="1" x14ac:dyDescent="0.2">
      <c r="B25" t="s">
        <v>74</v>
      </c>
      <c r="C25" s="12">
        <v>33</v>
      </c>
      <c r="D25" s="8">
        <v>9.9700000000000006</v>
      </c>
      <c r="E25" s="12">
        <v>6</v>
      </c>
      <c r="F25" s="8">
        <v>2.79</v>
      </c>
      <c r="G25" s="12">
        <v>27</v>
      </c>
      <c r="H25" s="8">
        <v>24.55</v>
      </c>
      <c r="I25" s="12">
        <v>0</v>
      </c>
    </row>
    <row r="26" spans="2:9" ht="15" customHeight="1" x14ac:dyDescent="0.2">
      <c r="B26" t="s">
        <v>81</v>
      </c>
      <c r="C26" s="12">
        <v>30</v>
      </c>
      <c r="D26" s="8">
        <v>9.06</v>
      </c>
      <c r="E26" s="12">
        <v>22</v>
      </c>
      <c r="F26" s="8">
        <v>10.23</v>
      </c>
      <c r="G26" s="12">
        <v>8</v>
      </c>
      <c r="H26" s="8">
        <v>7.27</v>
      </c>
      <c r="I26" s="12">
        <v>0</v>
      </c>
    </row>
    <row r="27" spans="2:9" ht="15" customHeight="1" x14ac:dyDescent="0.2">
      <c r="B27" t="s">
        <v>89</v>
      </c>
      <c r="C27" s="12">
        <v>27</v>
      </c>
      <c r="D27" s="8">
        <v>8.16</v>
      </c>
      <c r="E27" s="12">
        <v>27</v>
      </c>
      <c r="F27" s="8">
        <v>12.56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83</v>
      </c>
      <c r="C28" s="12">
        <v>24</v>
      </c>
      <c r="D28" s="8">
        <v>7.25</v>
      </c>
      <c r="E28" s="12">
        <v>16</v>
      </c>
      <c r="F28" s="8">
        <v>7.44</v>
      </c>
      <c r="G28" s="12">
        <v>8</v>
      </c>
      <c r="H28" s="8">
        <v>7.27</v>
      </c>
      <c r="I28" s="12">
        <v>0</v>
      </c>
    </row>
    <row r="29" spans="2:9" ht="15" customHeight="1" x14ac:dyDescent="0.2">
      <c r="B29" t="s">
        <v>106</v>
      </c>
      <c r="C29" s="12">
        <v>24</v>
      </c>
      <c r="D29" s="8">
        <v>7.25</v>
      </c>
      <c r="E29" s="12">
        <v>23</v>
      </c>
      <c r="F29" s="8">
        <v>10.7</v>
      </c>
      <c r="G29" s="12">
        <v>1</v>
      </c>
      <c r="H29" s="8">
        <v>0.91</v>
      </c>
      <c r="I29" s="12">
        <v>0</v>
      </c>
    </row>
    <row r="30" spans="2:9" ht="15" customHeight="1" x14ac:dyDescent="0.2">
      <c r="B30" t="s">
        <v>82</v>
      </c>
      <c r="C30" s="12">
        <v>10</v>
      </c>
      <c r="D30" s="8">
        <v>3.02</v>
      </c>
      <c r="E30" s="12">
        <v>9</v>
      </c>
      <c r="F30" s="8">
        <v>4.1900000000000004</v>
      </c>
      <c r="G30" s="12">
        <v>1</v>
      </c>
      <c r="H30" s="8">
        <v>0.91</v>
      </c>
      <c r="I30" s="12">
        <v>0</v>
      </c>
    </row>
    <row r="31" spans="2:9" ht="15" customHeight="1" x14ac:dyDescent="0.2">
      <c r="B31" t="s">
        <v>85</v>
      </c>
      <c r="C31" s="12">
        <v>10</v>
      </c>
      <c r="D31" s="8">
        <v>3.02</v>
      </c>
      <c r="E31" s="12">
        <v>4</v>
      </c>
      <c r="F31" s="8">
        <v>1.86</v>
      </c>
      <c r="G31" s="12">
        <v>5</v>
      </c>
      <c r="H31" s="8">
        <v>4.55</v>
      </c>
      <c r="I31" s="12">
        <v>0</v>
      </c>
    </row>
    <row r="32" spans="2:9" ht="15" customHeight="1" x14ac:dyDescent="0.2">
      <c r="B32" t="s">
        <v>90</v>
      </c>
      <c r="C32" s="12">
        <v>9</v>
      </c>
      <c r="D32" s="8">
        <v>2.72</v>
      </c>
      <c r="E32" s="12">
        <v>7</v>
      </c>
      <c r="F32" s="8">
        <v>3.26</v>
      </c>
      <c r="G32" s="12">
        <v>2</v>
      </c>
      <c r="H32" s="8">
        <v>1.82</v>
      </c>
      <c r="I32" s="12">
        <v>0</v>
      </c>
    </row>
    <row r="33" spans="2:9" ht="15" customHeight="1" x14ac:dyDescent="0.2">
      <c r="B33" t="s">
        <v>93</v>
      </c>
      <c r="C33" s="12">
        <v>9</v>
      </c>
      <c r="D33" s="8">
        <v>2.72</v>
      </c>
      <c r="E33" s="12">
        <v>8</v>
      </c>
      <c r="F33" s="8">
        <v>3.72</v>
      </c>
      <c r="G33" s="12">
        <v>1</v>
      </c>
      <c r="H33" s="8">
        <v>0.91</v>
      </c>
      <c r="I33" s="12">
        <v>0</v>
      </c>
    </row>
    <row r="34" spans="2:9" ht="15" customHeight="1" x14ac:dyDescent="0.2">
      <c r="B34" t="s">
        <v>80</v>
      </c>
      <c r="C34" s="12">
        <v>7</v>
      </c>
      <c r="D34" s="8">
        <v>2.11</v>
      </c>
      <c r="E34" s="12">
        <v>4</v>
      </c>
      <c r="F34" s="8">
        <v>1.86</v>
      </c>
      <c r="G34" s="12">
        <v>3</v>
      </c>
      <c r="H34" s="8">
        <v>2.73</v>
      </c>
      <c r="I34" s="12">
        <v>0</v>
      </c>
    </row>
    <row r="35" spans="2:9" ht="15" customHeight="1" x14ac:dyDescent="0.2">
      <c r="B35" t="s">
        <v>91</v>
      </c>
      <c r="C35" s="12">
        <v>7</v>
      </c>
      <c r="D35" s="8">
        <v>2.11</v>
      </c>
      <c r="E35" s="12">
        <v>7</v>
      </c>
      <c r="F35" s="8">
        <v>3.26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6</v>
      </c>
      <c r="D36" s="8">
        <v>1.81</v>
      </c>
      <c r="E36" s="12">
        <v>3</v>
      </c>
      <c r="F36" s="8">
        <v>1.4</v>
      </c>
      <c r="G36" s="12">
        <v>3</v>
      </c>
      <c r="H36" s="8">
        <v>2.73</v>
      </c>
      <c r="I36" s="12">
        <v>0</v>
      </c>
    </row>
    <row r="37" spans="2:9" ht="15" customHeight="1" x14ac:dyDescent="0.2">
      <c r="B37" t="s">
        <v>86</v>
      </c>
      <c r="C37" s="12">
        <v>6</v>
      </c>
      <c r="D37" s="8">
        <v>1.81</v>
      </c>
      <c r="E37" s="12">
        <v>4</v>
      </c>
      <c r="F37" s="8">
        <v>1.86</v>
      </c>
      <c r="G37" s="12">
        <v>2</v>
      </c>
      <c r="H37" s="8">
        <v>1.82</v>
      </c>
      <c r="I37" s="12">
        <v>0</v>
      </c>
    </row>
    <row r="38" spans="2:9" ht="15" customHeight="1" x14ac:dyDescent="0.2">
      <c r="B38" t="s">
        <v>75</v>
      </c>
      <c r="C38" s="12">
        <v>5</v>
      </c>
      <c r="D38" s="8">
        <v>1.51</v>
      </c>
      <c r="E38" s="12">
        <v>2</v>
      </c>
      <c r="F38" s="8">
        <v>0.93</v>
      </c>
      <c r="G38" s="12">
        <v>3</v>
      </c>
      <c r="H38" s="8">
        <v>2.73</v>
      </c>
      <c r="I38" s="12">
        <v>0</v>
      </c>
    </row>
    <row r="39" spans="2:9" ht="15" customHeight="1" x14ac:dyDescent="0.2">
      <c r="B39" t="s">
        <v>78</v>
      </c>
      <c r="C39" s="12">
        <v>5</v>
      </c>
      <c r="D39" s="8">
        <v>1.51</v>
      </c>
      <c r="E39" s="12">
        <v>2</v>
      </c>
      <c r="F39" s="8">
        <v>0.93</v>
      </c>
      <c r="G39" s="12">
        <v>3</v>
      </c>
      <c r="H39" s="8">
        <v>2.73</v>
      </c>
      <c r="I39" s="12">
        <v>0</v>
      </c>
    </row>
    <row r="40" spans="2:9" ht="15" customHeight="1" x14ac:dyDescent="0.2">
      <c r="B40" t="s">
        <v>109</v>
      </c>
      <c r="C40" s="12">
        <v>4</v>
      </c>
      <c r="D40" s="8">
        <v>1.21</v>
      </c>
      <c r="E40" s="12">
        <v>2</v>
      </c>
      <c r="F40" s="8">
        <v>0.93</v>
      </c>
      <c r="G40" s="12">
        <v>2</v>
      </c>
      <c r="H40" s="8">
        <v>1.82</v>
      </c>
      <c r="I40" s="12">
        <v>0</v>
      </c>
    </row>
    <row r="41" spans="2:9" ht="15" customHeight="1" x14ac:dyDescent="0.2">
      <c r="B41" t="s">
        <v>116</v>
      </c>
      <c r="C41" s="12">
        <v>4</v>
      </c>
      <c r="D41" s="8">
        <v>1.21</v>
      </c>
      <c r="E41" s="12">
        <v>0</v>
      </c>
      <c r="F41" s="8">
        <v>0</v>
      </c>
      <c r="G41" s="12">
        <v>4</v>
      </c>
      <c r="H41" s="8">
        <v>3.64</v>
      </c>
      <c r="I41" s="12">
        <v>0</v>
      </c>
    </row>
    <row r="42" spans="2:9" ht="15" customHeight="1" x14ac:dyDescent="0.2">
      <c r="B42" t="s">
        <v>87</v>
      </c>
      <c r="C42" s="12">
        <v>4</v>
      </c>
      <c r="D42" s="8">
        <v>1.21</v>
      </c>
      <c r="E42" s="12">
        <v>0</v>
      </c>
      <c r="F42" s="8">
        <v>0</v>
      </c>
      <c r="G42" s="12">
        <v>4</v>
      </c>
      <c r="H42" s="8">
        <v>3.64</v>
      </c>
      <c r="I42" s="12">
        <v>0</v>
      </c>
    </row>
    <row r="43" spans="2:9" ht="15" customHeight="1" x14ac:dyDescent="0.2">
      <c r="B43" t="s">
        <v>100</v>
      </c>
      <c r="C43" s="12">
        <v>4</v>
      </c>
      <c r="D43" s="8">
        <v>1.21</v>
      </c>
      <c r="E43" s="12">
        <v>2</v>
      </c>
      <c r="F43" s="8">
        <v>0.93</v>
      </c>
      <c r="G43" s="12">
        <v>2</v>
      </c>
      <c r="H43" s="8">
        <v>1.82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147</v>
      </c>
      <c r="C47" s="12">
        <v>25</v>
      </c>
      <c r="D47" s="8">
        <v>7.55</v>
      </c>
      <c r="E47" s="12">
        <v>22</v>
      </c>
      <c r="F47" s="8">
        <v>10.23</v>
      </c>
      <c r="G47" s="12">
        <v>3</v>
      </c>
      <c r="H47" s="8">
        <v>2.73</v>
      </c>
      <c r="I47" s="12">
        <v>0</v>
      </c>
    </row>
    <row r="48" spans="2:9" ht="15" customHeight="1" x14ac:dyDescent="0.2">
      <c r="B48" t="s">
        <v>135</v>
      </c>
      <c r="C48" s="12">
        <v>24</v>
      </c>
      <c r="D48" s="8">
        <v>7.25</v>
      </c>
      <c r="E48" s="12">
        <v>2</v>
      </c>
      <c r="F48" s="8">
        <v>0.93</v>
      </c>
      <c r="G48" s="12">
        <v>22</v>
      </c>
      <c r="H48" s="8">
        <v>20</v>
      </c>
      <c r="I48" s="12">
        <v>0</v>
      </c>
    </row>
    <row r="49" spans="2:9" ht="15" customHeight="1" x14ac:dyDescent="0.2">
      <c r="B49" t="s">
        <v>159</v>
      </c>
      <c r="C49" s="12">
        <v>19</v>
      </c>
      <c r="D49" s="8">
        <v>5.74</v>
      </c>
      <c r="E49" s="12">
        <v>18</v>
      </c>
      <c r="F49" s="8">
        <v>8.3699999999999992</v>
      </c>
      <c r="G49" s="12">
        <v>1</v>
      </c>
      <c r="H49" s="8">
        <v>0.91</v>
      </c>
      <c r="I49" s="12">
        <v>0</v>
      </c>
    </row>
    <row r="50" spans="2:9" ht="15" customHeight="1" x14ac:dyDescent="0.2">
      <c r="B50" t="s">
        <v>181</v>
      </c>
      <c r="C50" s="12">
        <v>18</v>
      </c>
      <c r="D50" s="8">
        <v>5.44</v>
      </c>
      <c r="E50" s="12">
        <v>17</v>
      </c>
      <c r="F50" s="8">
        <v>7.91</v>
      </c>
      <c r="G50" s="12">
        <v>1</v>
      </c>
      <c r="H50" s="8">
        <v>0.91</v>
      </c>
      <c r="I50" s="12">
        <v>0</v>
      </c>
    </row>
    <row r="51" spans="2:9" ht="15" customHeight="1" x14ac:dyDescent="0.2">
      <c r="B51" t="s">
        <v>151</v>
      </c>
      <c r="C51" s="12">
        <v>17</v>
      </c>
      <c r="D51" s="8">
        <v>5.14</v>
      </c>
      <c r="E51" s="12">
        <v>17</v>
      </c>
      <c r="F51" s="8">
        <v>7.91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166</v>
      </c>
      <c r="C52" s="12">
        <v>13</v>
      </c>
      <c r="D52" s="8">
        <v>3.93</v>
      </c>
      <c r="E52" s="12">
        <v>12</v>
      </c>
      <c r="F52" s="8">
        <v>5.58</v>
      </c>
      <c r="G52" s="12">
        <v>1</v>
      </c>
      <c r="H52" s="8">
        <v>0.91</v>
      </c>
      <c r="I52" s="12">
        <v>0</v>
      </c>
    </row>
    <row r="53" spans="2:9" ht="15" customHeight="1" x14ac:dyDescent="0.2">
      <c r="B53" t="s">
        <v>140</v>
      </c>
      <c r="C53" s="12">
        <v>13</v>
      </c>
      <c r="D53" s="8">
        <v>3.93</v>
      </c>
      <c r="E53" s="12">
        <v>7</v>
      </c>
      <c r="F53" s="8">
        <v>3.26</v>
      </c>
      <c r="G53" s="12">
        <v>6</v>
      </c>
      <c r="H53" s="8">
        <v>5.45</v>
      </c>
      <c r="I53" s="12">
        <v>0</v>
      </c>
    </row>
    <row r="54" spans="2:9" ht="15" customHeight="1" x14ac:dyDescent="0.2">
      <c r="B54" t="s">
        <v>154</v>
      </c>
      <c r="C54" s="12">
        <v>9</v>
      </c>
      <c r="D54" s="8">
        <v>2.72</v>
      </c>
      <c r="E54" s="12">
        <v>8</v>
      </c>
      <c r="F54" s="8">
        <v>3.72</v>
      </c>
      <c r="G54" s="12">
        <v>1</v>
      </c>
      <c r="H54" s="8">
        <v>0.91</v>
      </c>
      <c r="I54" s="12">
        <v>0</v>
      </c>
    </row>
    <row r="55" spans="2:9" ht="15" customHeight="1" x14ac:dyDescent="0.2">
      <c r="B55" t="s">
        <v>143</v>
      </c>
      <c r="C55" s="12">
        <v>8</v>
      </c>
      <c r="D55" s="8">
        <v>2.42</v>
      </c>
      <c r="E55" s="12">
        <v>7</v>
      </c>
      <c r="F55" s="8">
        <v>3.26</v>
      </c>
      <c r="G55" s="12">
        <v>1</v>
      </c>
      <c r="H55" s="8">
        <v>0.91</v>
      </c>
      <c r="I55" s="12">
        <v>0</v>
      </c>
    </row>
    <row r="56" spans="2:9" ht="15" customHeight="1" x14ac:dyDescent="0.2">
      <c r="B56" t="s">
        <v>150</v>
      </c>
      <c r="C56" s="12">
        <v>8</v>
      </c>
      <c r="D56" s="8">
        <v>2.42</v>
      </c>
      <c r="E56" s="12">
        <v>8</v>
      </c>
      <c r="F56" s="8">
        <v>3.72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141</v>
      </c>
      <c r="C57" s="12">
        <v>7</v>
      </c>
      <c r="D57" s="8">
        <v>2.11</v>
      </c>
      <c r="E57" s="12">
        <v>6</v>
      </c>
      <c r="F57" s="8">
        <v>2.79</v>
      </c>
      <c r="G57" s="12">
        <v>1</v>
      </c>
      <c r="H57" s="8">
        <v>0.91</v>
      </c>
      <c r="I57" s="12">
        <v>0</v>
      </c>
    </row>
    <row r="58" spans="2:9" ht="15" customHeight="1" x14ac:dyDescent="0.2">
      <c r="B58" t="s">
        <v>145</v>
      </c>
      <c r="C58" s="12">
        <v>7</v>
      </c>
      <c r="D58" s="8">
        <v>2.11</v>
      </c>
      <c r="E58" s="12">
        <v>4</v>
      </c>
      <c r="F58" s="8">
        <v>1.86</v>
      </c>
      <c r="G58" s="12">
        <v>2</v>
      </c>
      <c r="H58" s="8">
        <v>1.82</v>
      </c>
      <c r="I58" s="12">
        <v>0</v>
      </c>
    </row>
    <row r="59" spans="2:9" ht="15" customHeight="1" x14ac:dyDescent="0.2">
      <c r="B59" t="s">
        <v>209</v>
      </c>
      <c r="C59" s="12">
        <v>7</v>
      </c>
      <c r="D59" s="8">
        <v>2.11</v>
      </c>
      <c r="E59" s="12">
        <v>6</v>
      </c>
      <c r="F59" s="8">
        <v>2.79</v>
      </c>
      <c r="G59" s="12">
        <v>1</v>
      </c>
      <c r="H59" s="8">
        <v>0.91</v>
      </c>
      <c r="I59" s="12">
        <v>0</v>
      </c>
    </row>
    <row r="60" spans="2:9" ht="15" customHeight="1" x14ac:dyDescent="0.2">
      <c r="B60" t="s">
        <v>136</v>
      </c>
      <c r="C60" s="12">
        <v>6</v>
      </c>
      <c r="D60" s="8">
        <v>1.81</v>
      </c>
      <c r="E60" s="12">
        <v>3</v>
      </c>
      <c r="F60" s="8">
        <v>1.4</v>
      </c>
      <c r="G60" s="12">
        <v>3</v>
      </c>
      <c r="H60" s="8">
        <v>2.73</v>
      </c>
      <c r="I60" s="12">
        <v>0</v>
      </c>
    </row>
    <row r="61" spans="2:9" ht="15" customHeight="1" x14ac:dyDescent="0.2">
      <c r="B61" t="s">
        <v>168</v>
      </c>
      <c r="C61" s="12">
        <v>5</v>
      </c>
      <c r="D61" s="8">
        <v>1.51</v>
      </c>
      <c r="E61" s="12">
        <v>3</v>
      </c>
      <c r="F61" s="8">
        <v>1.4</v>
      </c>
      <c r="G61" s="12">
        <v>2</v>
      </c>
      <c r="H61" s="8">
        <v>1.82</v>
      </c>
      <c r="I61" s="12">
        <v>0</v>
      </c>
    </row>
    <row r="62" spans="2:9" ht="15" customHeight="1" x14ac:dyDescent="0.2">
      <c r="B62" t="s">
        <v>153</v>
      </c>
      <c r="C62" s="12">
        <v>5</v>
      </c>
      <c r="D62" s="8">
        <v>1.51</v>
      </c>
      <c r="E62" s="12">
        <v>5</v>
      </c>
      <c r="F62" s="8">
        <v>2.33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198</v>
      </c>
      <c r="C63" s="12">
        <v>4</v>
      </c>
      <c r="D63" s="8">
        <v>1.21</v>
      </c>
      <c r="E63" s="12">
        <v>0</v>
      </c>
      <c r="F63" s="8">
        <v>0</v>
      </c>
      <c r="G63" s="12">
        <v>4</v>
      </c>
      <c r="H63" s="8">
        <v>3.64</v>
      </c>
      <c r="I63" s="12">
        <v>0</v>
      </c>
    </row>
    <row r="64" spans="2:9" ht="15" customHeight="1" x14ac:dyDescent="0.2">
      <c r="B64" t="s">
        <v>139</v>
      </c>
      <c r="C64" s="12">
        <v>4</v>
      </c>
      <c r="D64" s="8">
        <v>1.21</v>
      </c>
      <c r="E64" s="12">
        <v>2</v>
      </c>
      <c r="F64" s="8">
        <v>0.93</v>
      </c>
      <c r="G64" s="12">
        <v>2</v>
      </c>
      <c r="H64" s="8">
        <v>1.82</v>
      </c>
      <c r="I64" s="12">
        <v>0</v>
      </c>
    </row>
    <row r="65" spans="2:9" ht="15" customHeight="1" x14ac:dyDescent="0.2">
      <c r="B65" t="s">
        <v>202</v>
      </c>
      <c r="C65" s="12">
        <v>4</v>
      </c>
      <c r="D65" s="8">
        <v>1.21</v>
      </c>
      <c r="E65" s="12">
        <v>3</v>
      </c>
      <c r="F65" s="8">
        <v>1.4</v>
      </c>
      <c r="G65" s="12">
        <v>1</v>
      </c>
      <c r="H65" s="8">
        <v>0.91</v>
      </c>
      <c r="I65" s="12">
        <v>0</v>
      </c>
    </row>
    <row r="66" spans="2:9" ht="15" customHeight="1" x14ac:dyDescent="0.2">
      <c r="B66" t="s">
        <v>230</v>
      </c>
      <c r="C66" s="12">
        <v>4</v>
      </c>
      <c r="D66" s="8">
        <v>1.21</v>
      </c>
      <c r="E66" s="12">
        <v>4</v>
      </c>
      <c r="F66" s="8">
        <v>1.86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170</v>
      </c>
      <c r="C67" s="12">
        <v>4</v>
      </c>
      <c r="D67" s="8">
        <v>1.21</v>
      </c>
      <c r="E67" s="12">
        <v>4</v>
      </c>
      <c r="F67" s="8">
        <v>1.86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231</v>
      </c>
      <c r="C68" s="12">
        <v>4</v>
      </c>
      <c r="D68" s="8">
        <v>1.21</v>
      </c>
      <c r="E68" s="12">
        <v>3</v>
      </c>
      <c r="F68" s="8">
        <v>1.4</v>
      </c>
      <c r="G68" s="12">
        <v>1</v>
      </c>
      <c r="H68" s="8">
        <v>0.91</v>
      </c>
      <c r="I68" s="12">
        <v>0</v>
      </c>
    </row>
    <row r="69" spans="2:9" ht="15" customHeight="1" x14ac:dyDescent="0.2">
      <c r="B69" t="s">
        <v>152</v>
      </c>
      <c r="C69" s="12">
        <v>4</v>
      </c>
      <c r="D69" s="8">
        <v>1.21</v>
      </c>
      <c r="E69" s="12">
        <v>4</v>
      </c>
      <c r="F69" s="8">
        <v>1.86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1F79-722D-4042-B4BD-B2D4C8E084C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96</v>
      </c>
      <c r="D6" s="8">
        <v>24.43</v>
      </c>
      <c r="E6" s="12">
        <v>34</v>
      </c>
      <c r="F6" s="8">
        <v>17.09</v>
      </c>
      <c r="G6" s="12">
        <v>62</v>
      </c>
      <c r="H6" s="8">
        <v>32.29</v>
      </c>
      <c r="I6" s="12">
        <v>0</v>
      </c>
    </row>
    <row r="7" spans="2:9" ht="15" customHeight="1" x14ac:dyDescent="0.2">
      <c r="B7" t="s">
        <v>53</v>
      </c>
      <c r="C7" s="12">
        <v>34</v>
      </c>
      <c r="D7" s="8">
        <v>8.65</v>
      </c>
      <c r="E7" s="12">
        <v>20</v>
      </c>
      <c r="F7" s="8">
        <v>10.050000000000001</v>
      </c>
      <c r="G7" s="12">
        <v>14</v>
      </c>
      <c r="H7" s="8">
        <v>7.29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0.52</v>
      </c>
      <c r="I8" s="12">
        <v>0</v>
      </c>
    </row>
    <row r="9" spans="2:9" ht="15" customHeight="1" x14ac:dyDescent="0.2">
      <c r="B9" t="s">
        <v>55</v>
      </c>
      <c r="C9" s="12">
        <v>2</v>
      </c>
      <c r="D9" s="8">
        <v>0.51</v>
      </c>
      <c r="E9" s="12">
        <v>0</v>
      </c>
      <c r="F9" s="8">
        <v>0</v>
      </c>
      <c r="G9" s="12">
        <v>2</v>
      </c>
      <c r="H9" s="8">
        <v>1.04</v>
      </c>
      <c r="I9" s="12">
        <v>0</v>
      </c>
    </row>
    <row r="10" spans="2:9" ht="15" customHeight="1" x14ac:dyDescent="0.2">
      <c r="B10" t="s">
        <v>56</v>
      </c>
      <c r="C10" s="12">
        <v>6</v>
      </c>
      <c r="D10" s="8">
        <v>1.53</v>
      </c>
      <c r="E10" s="12">
        <v>1</v>
      </c>
      <c r="F10" s="8">
        <v>0.5</v>
      </c>
      <c r="G10" s="12">
        <v>5</v>
      </c>
      <c r="H10" s="8">
        <v>2.6</v>
      </c>
      <c r="I10" s="12">
        <v>0</v>
      </c>
    </row>
    <row r="11" spans="2:9" ht="15" customHeight="1" x14ac:dyDescent="0.2">
      <c r="B11" t="s">
        <v>57</v>
      </c>
      <c r="C11" s="12">
        <v>102</v>
      </c>
      <c r="D11" s="8">
        <v>25.95</v>
      </c>
      <c r="E11" s="12">
        <v>51</v>
      </c>
      <c r="F11" s="8">
        <v>25.63</v>
      </c>
      <c r="G11" s="12">
        <v>51</v>
      </c>
      <c r="H11" s="8">
        <v>26.56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0.52</v>
      </c>
      <c r="I12" s="12">
        <v>0</v>
      </c>
    </row>
    <row r="13" spans="2:9" ht="15" customHeight="1" x14ac:dyDescent="0.2">
      <c r="B13" t="s">
        <v>59</v>
      </c>
      <c r="C13" s="12">
        <v>18</v>
      </c>
      <c r="D13" s="8">
        <v>4.58</v>
      </c>
      <c r="E13" s="12">
        <v>5</v>
      </c>
      <c r="F13" s="8">
        <v>2.5099999999999998</v>
      </c>
      <c r="G13" s="12">
        <v>13</v>
      </c>
      <c r="H13" s="8">
        <v>6.77</v>
      </c>
      <c r="I13" s="12">
        <v>0</v>
      </c>
    </row>
    <row r="14" spans="2:9" ht="15" customHeight="1" x14ac:dyDescent="0.2">
      <c r="B14" t="s">
        <v>60</v>
      </c>
      <c r="C14" s="12">
        <v>14</v>
      </c>
      <c r="D14" s="8">
        <v>3.56</v>
      </c>
      <c r="E14" s="12">
        <v>8</v>
      </c>
      <c r="F14" s="8">
        <v>4.0199999999999996</v>
      </c>
      <c r="G14" s="12">
        <v>5</v>
      </c>
      <c r="H14" s="8">
        <v>2.6</v>
      </c>
      <c r="I14" s="12">
        <v>0</v>
      </c>
    </row>
    <row r="15" spans="2:9" ht="15" customHeight="1" x14ac:dyDescent="0.2">
      <c r="B15" t="s">
        <v>61</v>
      </c>
      <c r="C15" s="12">
        <v>30</v>
      </c>
      <c r="D15" s="8">
        <v>7.63</v>
      </c>
      <c r="E15" s="12">
        <v>27</v>
      </c>
      <c r="F15" s="8">
        <v>13.57</v>
      </c>
      <c r="G15" s="12">
        <v>2</v>
      </c>
      <c r="H15" s="8">
        <v>1.04</v>
      </c>
      <c r="I15" s="12">
        <v>0</v>
      </c>
    </row>
    <row r="16" spans="2:9" ht="15" customHeight="1" x14ac:dyDescent="0.2">
      <c r="B16" t="s">
        <v>62</v>
      </c>
      <c r="C16" s="12">
        <v>41</v>
      </c>
      <c r="D16" s="8">
        <v>10.43</v>
      </c>
      <c r="E16" s="12">
        <v>30</v>
      </c>
      <c r="F16" s="8">
        <v>15.08</v>
      </c>
      <c r="G16" s="12">
        <v>11</v>
      </c>
      <c r="H16" s="8">
        <v>5.73</v>
      </c>
      <c r="I16" s="12">
        <v>0</v>
      </c>
    </row>
    <row r="17" spans="2:9" ht="15" customHeight="1" x14ac:dyDescent="0.2">
      <c r="B17" t="s">
        <v>63</v>
      </c>
      <c r="C17" s="12">
        <v>7</v>
      </c>
      <c r="D17" s="8">
        <v>1.78</v>
      </c>
      <c r="E17" s="12">
        <v>3</v>
      </c>
      <c r="F17" s="8">
        <v>1.51</v>
      </c>
      <c r="G17" s="12">
        <v>4</v>
      </c>
      <c r="H17" s="8">
        <v>2.08</v>
      </c>
      <c r="I17" s="12">
        <v>0</v>
      </c>
    </row>
    <row r="18" spans="2:9" ht="15" customHeight="1" x14ac:dyDescent="0.2">
      <c r="B18" t="s">
        <v>64</v>
      </c>
      <c r="C18" s="12">
        <v>17</v>
      </c>
      <c r="D18" s="8">
        <v>4.33</v>
      </c>
      <c r="E18" s="12">
        <v>8</v>
      </c>
      <c r="F18" s="8">
        <v>4.0199999999999996</v>
      </c>
      <c r="G18" s="12">
        <v>9</v>
      </c>
      <c r="H18" s="8">
        <v>4.6900000000000004</v>
      </c>
      <c r="I18" s="12">
        <v>0</v>
      </c>
    </row>
    <row r="19" spans="2:9" ht="15" customHeight="1" x14ac:dyDescent="0.2">
      <c r="B19" t="s">
        <v>65</v>
      </c>
      <c r="C19" s="12">
        <v>24</v>
      </c>
      <c r="D19" s="8">
        <v>6.11</v>
      </c>
      <c r="E19" s="12">
        <v>12</v>
      </c>
      <c r="F19" s="8">
        <v>6.03</v>
      </c>
      <c r="G19" s="12">
        <v>12</v>
      </c>
      <c r="H19" s="8">
        <v>6.25</v>
      </c>
      <c r="I19" s="12">
        <v>0</v>
      </c>
    </row>
    <row r="20" spans="2:9" ht="15" customHeight="1" x14ac:dyDescent="0.2">
      <c r="B20" s="9" t="s">
        <v>281</v>
      </c>
      <c r="C20" s="12">
        <f>SUM(LTBL_43441[総数／事業所数])</f>
        <v>393</v>
      </c>
      <c r="E20" s="12">
        <f>SUBTOTAL(109,LTBL_43441[個人／事業所数])</f>
        <v>199</v>
      </c>
      <c r="G20" s="12">
        <f>SUBTOTAL(109,LTBL_43441[法人／事業所数])</f>
        <v>192</v>
      </c>
      <c r="I20" s="12">
        <f>SUBTOTAL(109,LTBL_43441[法人以外の団体／事業所数])</f>
        <v>0</v>
      </c>
    </row>
    <row r="21" spans="2:9" ht="15" customHeight="1" x14ac:dyDescent="0.2">
      <c r="E21" s="11">
        <f>LTBL_43441[[#Totals],[個人／事業所数]]/LTBL_43441[[#Totals],[総数／事業所数]]</f>
        <v>0.50636132315521631</v>
      </c>
      <c r="G21" s="11">
        <f>LTBL_43441[[#Totals],[法人／事業所数]]/LTBL_43441[[#Totals],[総数／事業所数]]</f>
        <v>0.48854961832061067</v>
      </c>
      <c r="I21" s="11">
        <f>LTBL_43441[[#Totals],[法人以外の団体／事業所数]]/LTBL_43441[[#Totals],[総数／事業所数]]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47</v>
      </c>
      <c r="D24" s="8">
        <v>11.96</v>
      </c>
      <c r="E24" s="12">
        <v>12</v>
      </c>
      <c r="F24" s="8">
        <v>6.03</v>
      </c>
      <c r="G24" s="12">
        <v>35</v>
      </c>
      <c r="H24" s="8">
        <v>18.23</v>
      </c>
      <c r="I24" s="12">
        <v>0</v>
      </c>
    </row>
    <row r="25" spans="2:9" ht="15" customHeight="1" x14ac:dyDescent="0.2">
      <c r="B25" t="s">
        <v>89</v>
      </c>
      <c r="C25" s="12">
        <v>35</v>
      </c>
      <c r="D25" s="8">
        <v>8.91</v>
      </c>
      <c r="E25" s="12">
        <v>29</v>
      </c>
      <c r="F25" s="8">
        <v>14.57</v>
      </c>
      <c r="G25" s="12">
        <v>6</v>
      </c>
      <c r="H25" s="8">
        <v>3.13</v>
      </c>
      <c r="I25" s="12">
        <v>0</v>
      </c>
    </row>
    <row r="26" spans="2:9" ht="15" customHeight="1" x14ac:dyDescent="0.2">
      <c r="B26" t="s">
        <v>75</v>
      </c>
      <c r="C26" s="12">
        <v>30</v>
      </c>
      <c r="D26" s="8">
        <v>7.63</v>
      </c>
      <c r="E26" s="12">
        <v>17</v>
      </c>
      <c r="F26" s="8">
        <v>8.5399999999999991</v>
      </c>
      <c r="G26" s="12">
        <v>13</v>
      </c>
      <c r="H26" s="8">
        <v>6.77</v>
      </c>
      <c r="I26" s="12">
        <v>0</v>
      </c>
    </row>
    <row r="27" spans="2:9" ht="15" customHeight="1" x14ac:dyDescent="0.2">
      <c r="B27" t="s">
        <v>81</v>
      </c>
      <c r="C27" s="12">
        <v>28</v>
      </c>
      <c r="D27" s="8">
        <v>7.12</v>
      </c>
      <c r="E27" s="12">
        <v>16</v>
      </c>
      <c r="F27" s="8">
        <v>8.0399999999999991</v>
      </c>
      <c r="G27" s="12">
        <v>12</v>
      </c>
      <c r="H27" s="8">
        <v>6.25</v>
      </c>
      <c r="I27" s="12">
        <v>0</v>
      </c>
    </row>
    <row r="28" spans="2:9" ht="15" customHeight="1" x14ac:dyDescent="0.2">
      <c r="B28" t="s">
        <v>83</v>
      </c>
      <c r="C28" s="12">
        <v>24</v>
      </c>
      <c r="D28" s="8">
        <v>6.11</v>
      </c>
      <c r="E28" s="12">
        <v>11</v>
      </c>
      <c r="F28" s="8">
        <v>5.53</v>
      </c>
      <c r="G28" s="12">
        <v>13</v>
      </c>
      <c r="H28" s="8">
        <v>6.77</v>
      </c>
      <c r="I28" s="12">
        <v>0</v>
      </c>
    </row>
    <row r="29" spans="2:9" ht="15" customHeight="1" x14ac:dyDescent="0.2">
      <c r="B29" t="s">
        <v>82</v>
      </c>
      <c r="C29" s="12">
        <v>22</v>
      </c>
      <c r="D29" s="8">
        <v>5.6</v>
      </c>
      <c r="E29" s="12">
        <v>16</v>
      </c>
      <c r="F29" s="8">
        <v>8.0399999999999991</v>
      </c>
      <c r="G29" s="12">
        <v>6</v>
      </c>
      <c r="H29" s="8">
        <v>3.13</v>
      </c>
      <c r="I29" s="12">
        <v>0</v>
      </c>
    </row>
    <row r="30" spans="2:9" ht="15" customHeight="1" x14ac:dyDescent="0.2">
      <c r="B30" t="s">
        <v>88</v>
      </c>
      <c r="C30" s="12">
        <v>21</v>
      </c>
      <c r="D30" s="8">
        <v>5.34</v>
      </c>
      <c r="E30" s="12">
        <v>20</v>
      </c>
      <c r="F30" s="8">
        <v>10.050000000000001</v>
      </c>
      <c r="G30" s="12">
        <v>1</v>
      </c>
      <c r="H30" s="8">
        <v>0.52</v>
      </c>
      <c r="I30" s="12">
        <v>0</v>
      </c>
    </row>
    <row r="31" spans="2:9" ht="15" customHeight="1" x14ac:dyDescent="0.2">
      <c r="B31" t="s">
        <v>76</v>
      </c>
      <c r="C31" s="12">
        <v>19</v>
      </c>
      <c r="D31" s="8">
        <v>4.83</v>
      </c>
      <c r="E31" s="12">
        <v>5</v>
      </c>
      <c r="F31" s="8">
        <v>2.5099999999999998</v>
      </c>
      <c r="G31" s="12">
        <v>14</v>
      </c>
      <c r="H31" s="8">
        <v>7.29</v>
      </c>
      <c r="I31" s="12">
        <v>0</v>
      </c>
    </row>
    <row r="32" spans="2:9" ht="15" customHeight="1" x14ac:dyDescent="0.2">
      <c r="B32" t="s">
        <v>93</v>
      </c>
      <c r="C32" s="12">
        <v>13</v>
      </c>
      <c r="D32" s="8">
        <v>3.31</v>
      </c>
      <c r="E32" s="12">
        <v>9</v>
      </c>
      <c r="F32" s="8">
        <v>4.5199999999999996</v>
      </c>
      <c r="G32" s="12">
        <v>4</v>
      </c>
      <c r="H32" s="8">
        <v>2.08</v>
      </c>
      <c r="I32" s="12">
        <v>0</v>
      </c>
    </row>
    <row r="33" spans="2:9" ht="15" customHeight="1" x14ac:dyDescent="0.2">
      <c r="B33" t="s">
        <v>99</v>
      </c>
      <c r="C33" s="12">
        <v>9</v>
      </c>
      <c r="D33" s="8">
        <v>2.29</v>
      </c>
      <c r="E33" s="12">
        <v>3</v>
      </c>
      <c r="F33" s="8">
        <v>1.51</v>
      </c>
      <c r="G33" s="12">
        <v>6</v>
      </c>
      <c r="H33" s="8">
        <v>3.13</v>
      </c>
      <c r="I33" s="12">
        <v>0</v>
      </c>
    </row>
    <row r="34" spans="2:9" ht="15" customHeight="1" x14ac:dyDescent="0.2">
      <c r="B34" t="s">
        <v>85</v>
      </c>
      <c r="C34" s="12">
        <v>9</v>
      </c>
      <c r="D34" s="8">
        <v>2.29</v>
      </c>
      <c r="E34" s="12">
        <v>2</v>
      </c>
      <c r="F34" s="8">
        <v>1.01</v>
      </c>
      <c r="G34" s="12">
        <v>7</v>
      </c>
      <c r="H34" s="8">
        <v>3.65</v>
      </c>
      <c r="I34" s="12">
        <v>0</v>
      </c>
    </row>
    <row r="35" spans="2:9" ht="15" customHeight="1" x14ac:dyDescent="0.2">
      <c r="B35" t="s">
        <v>91</v>
      </c>
      <c r="C35" s="12">
        <v>9</v>
      </c>
      <c r="D35" s="8">
        <v>2.29</v>
      </c>
      <c r="E35" s="12">
        <v>7</v>
      </c>
      <c r="F35" s="8">
        <v>3.52</v>
      </c>
      <c r="G35" s="12">
        <v>2</v>
      </c>
      <c r="H35" s="8">
        <v>1.04</v>
      </c>
      <c r="I35" s="12">
        <v>0</v>
      </c>
    </row>
    <row r="36" spans="2:9" ht="15" customHeight="1" x14ac:dyDescent="0.2">
      <c r="B36" t="s">
        <v>92</v>
      </c>
      <c r="C36" s="12">
        <v>8</v>
      </c>
      <c r="D36" s="8">
        <v>2.04</v>
      </c>
      <c r="E36" s="12">
        <v>1</v>
      </c>
      <c r="F36" s="8">
        <v>0.5</v>
      </c>
      <c r="G36" s="12">
        <v>7</v>
      </c>
      <c r="H36" s="8">
        <v>3.65</v>
      </c>
      <c r="I36" s="12">
        <v>0</v>
      </c>
    </row>
    <row r="37" spans="2:9" ht="15" customHeight="1" x14ac:dyDescent="0.2">
      <c r="B37" t="s">
        <v>84</v>
      </c>
      <c r="C37" s="12">
        <v>7</v>
      </c>
      <c r="D37" s="8">
        <v>1.78</v>
      </c>
      <c r="E37" s="12">
        <v>3</v>
      </c>
      <c r="F37" s="8">
        <v>1.51</v>
      </c>
      <c r="G37" s="12">
        <v>4</v>
      </c>
      <c r="H37" s="8">
        <v>2.08</v>
      </c>
      <c r="I37" s="12">
        <v>0</v>
      </c>
    </row>
    <row r="38" spans="2:9" ht="15" customHeight="1" x14ac:dyDescent="0.2">
      <c r="B38" t="s">
        <v>86</v>
      </c>
      <c r="C38" s="12">
        <v>7</v>
      </c>
      <c r="D38" s="8">
        <v>1.78</v>
      </c>
      <c r="E38" s="12">
        <v>5</v>
      </c>
      <c r="F38" s="8">
        <v>2.5099999999999998</v>
      </c>
      <c r="G38" s="12">
        <v>2</v>
      </c>
      <c r="H38" s="8">
        <v>1.04</v>
      </c>
      <c r="I38" s="12">
        <v>0</v>
      </c>
    </row>
    <row r="39" spans="2:9" ht="15" customHeight="1" x14ac:dyDescent="0.2">
      <c r="B39" t="s">
        <v>101</v>
      </c>
      <c r="C39" s="12">
        <v>7</v>
      </c>
      <c r="D39" s="8">
        <v>1.78</v>
      </c>
      <c r="E39" s="12">
        <v>6</v>
      </c>
      <c r="F39" s="8">
        <v>3.02</v>
      </c>
      <c r="G39" s="12">
        <v>1</v>
      </c>
      <c r="H39" s="8">
        <v>0.52</v>
      </c>
      <c r="I39" s="12">
        <v>0</v>
      </c>
    </row>
    <row r="40" spans="2:9" ht="15" customHeight="1" x14ac:dyDescent="0.2">
      <c r="B40" t="s">
        <v>90</v>
      </c>
      <c r="C40" s="12">
        <v>7</v>
      </c>
      <c r="D40" s="8">
        <v>1.78</v>
      </c>
      <c r="E40" s="12">
        <v>3</v>
      </c>
      <c r="F40" s="8">
        <v>1.51</v>
      </c>
      <c r="G40" s="12">
        <v>4</v>
      </c>
      <c r="H40" s="8">
        <v>2.08</v>
      </c>
      <c r="I40" s="12">
        <v>0</v>
      </c>
    </row>
    <row r="41" spans="2:9" ht="15" customHeight="1" x14ac:dyDescent="0.2">
      <c r="B41" t="s">
        <v>77</v>
      </c>
      <c r="C41" s="12">
        <v>6</v>
      </c>
      <c r="D41" s="8">
        <v>1.53</v>
      </c>
      <c r="E41" s="12">
        <v>4</v>
      </c>
      <c r="F41" s="8">
        <v>2.0099999999999998</v>
      </c>
      <c r="G41" s="12">
        <v>2</v>
      </c>
      <c r="H41" s="8">
        <v>1.04</v>
      </c>
      <c r="I41" s="12">
        <v>0</v>
      </c>
    </row>
    <row r="42" spans="2:9" ht="15" customHeight="1" x14ac:dyDescent="0.2">
      <c r="B42" t="s">
        <v>114</v>
      </c>
      <c r="C42" s="12">
        <v>6</v>
      </c>
      <c r="D42" s="8">
        <v>1.53</v>
      </c>
      <c r="E42" s="12">
        <v>1</v>
      </c>
      <c r="F42" s="8">
        <v>0.5</v>
      </c>
      <c r="G42" s="12">
        <v>5</v>
      </c>
      <c r="H42" s="8">
        <v>2.6</v>
      </c>
      <c r="I42" s="12">
        <v>0</v>
      </c>
    </row>
    <row r="43" spans="2:9" ht="15" customHeight="1" x14ac:dyDescent="0.2">
      <c r="B43" t="s">
        <v>87</v>
      </c>
      <c r="C43" s="12">
        <v>6</v>
      </c>
      <c r="D43" s="8">
        <v>1.53</v>
      </c>
      <c r="E43" s="12">
        <v>3</v>
      </c>
      <c r="F43" s="8">
        <v>1.51</v>
      </c>
      <c r="G43" s="12">
        <v>2</v>
      </c>
      <c r="H43" s="8">
        <v>1.04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135</v>
      </c>
      <c r="C47" s="12">
        <v>19</v>
      </c>
      <c r="D47" s="8">
        <v>4.83</v>
      </c>
      <c r="E47" s="12">
        <v>4</v>
      </c>
      <c r="F47" s="8">
        <v>2.0099999999999998</v>
      </c>
      <c r="G47" s="12">
        <v>15</v>
      </c>
      <c r="H47" s="8">
        <v>7.81</v>
      </c>
      <c r="I47" s="12">
        <v>0</v>
      </c>
    </row>
    <row r="48" spans="2:9" ht="15" customHeight="1" x14ac:dyDescent="0.2">
      <c r="B48" t="s">
        <v>141</v>
      </c>
      <c r="C48" s="12">
        <v>18</v>
      </c>
      <c r="D48" s="8">
        <v>4.58</v>
      </c>
      <c r="E48" s="12">
        <v>14</v>
      </c>
      <c r="F48" s="8">
        <v>7.04</v>
      </c>
      <c r="G48" s="12">
        <v>4</v>
      </c>
      <c r="H48" s="8">
        <v>2.08</v>
      </c>
      <c r="I48" s="12">
        <v>0</v>
      </c>
    </row>
    <row r="49" spans="2:9" ht="15" customHeight="1" x14ac:dyDescent="0.2">
      <c r="B49" t="s">
        <v>150</v>
      </c>
      <c r="C49" s="12">
        <v>14</v>
      </c>
      <c r="D49" s="8">
        <v>3.56</v>
      </c>
      <c r="E49" s="12">
        <v>13</v>
      </c>
      <c r="F49" s="8">
        <v>6.53</v>
      </c>
      <c r="G49" s="12">
        <v>1</v>
      </c>
      <c r="H49" s="8">
        <v>0.52</v>
      </c>
      <c r="I49" s="12">
        <v>0</v>
      </c>
    </row>
    <row r="50" spans="2:9" ht="15" customHeight="1" x14ac:dyDescent="0.2">
      <c r="B50" t="s">
        <v>151</v>
      </c>
      <c r="C50" s="12">
        <v>14</v>
      </c>
      <c r="D50" s="8">
        <v>3.56</v>
      </c>
      <c r="E50" s="12">
        <v>14</v>
      </c>
      <c r="F50" s="8">
        <v>7.04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137</v>
      </c>
      <c r="C51" s="12">
        <v>13</v>
      </c>
      <c r="D51" s="8">
        <v>3.31</v>
      </c>
      <c r="E51" s="12">
        <v>8</v>
      </c>
      <c r="F51" s="8">
        <v>4.0199999999999996</v>
      </c>
      <c r="G51" s="12">
        <v>5</v>
      </c>
      <c r="H51" s="8">
        <v>2.6</v>
      </c>
      <c r="I51" s="12">
        <v>0</v>
      </c>
    </row>
    <row r="52" spans="2:9" ht="15" customHeight="1" x14ac:dyDescent="0.2">
      <c r="B52" t="s">
        <v>154</v>
      </c>
      <c r="C52" s="12">
        <v>13</v>
      </c>
      <c r="D52" s="8">
        <v>3.31</v>
      </c>
      <c r="E52" s="12">
        <v>9</v>
      </c>
      <c r="F52" s="8">
        <v>4.5199999999999996</v>
      </c>
      <c r="G52" s="12">
        <v>4</v>
      </c>
      <c r="H52" s="8">
        <v>2.08</v>
      </c>
      <c r="I52" s="12">
        <v>0</v>
      </c>
    </row>
    <row r="53" spans="2:9" ht="15" customHeight="1" x14ac:dyDescent="0.2">
      <c r="B53" t="s">
        <v>140</v>
      </c>
      <c r="C53" s="12">
        <v>12</v>
      </c>
      <c r="D53" s="8">
        <v>3.05</v>
      </c>
      <c r="E53" s="12">
        <v>5</v>
      </c>
      <c r="F53" s="8">
        <v>2.5099999999999998</v>
      </c>
      <c r="G53" s="12">
        <v>7</v>
      </c>
      <c r="H53" s="8">
        <v>3.65</v>
      </c>
      <c r="I53" s="12">
        <v>0</v>
      </c>
    </row>
    <row r="54" spans="2:9" ht="15" customHeight="1" x14ac:dyDescent="0.2">
      <c r="B54" t="s">
        <v>136</v>
      </c>
      <c r="C54" s="12">
        <v>9</v>
      </c>
      <c r="D54" s="8">
        <v>2.29</v>
      </c>
      <c r="E54" s="12">
        <v>0</v>
      </c>
      <c r="F54" s="8">
        <v>0</v>
      </c>
      <c r="G54" s="12">
        <v>9</v>
      </c>
      <c r="H54" s="8">
        <v>4.6900000000000004</v>
      </c>
      <c r="I54" s="12">
        <v>0</v>
      </c>
    </row>
    <row r="55" spans="2:9" ht="15" customHeight="1" x14ac:dyDescent="0.2">
      <c r="B55" t="s">
        <v>138</v>
      </c>
      <c r="C55" s="12">
        <v>8</v>
      </c>
      <c r="D55" s="8">
        <v>2.04</v>
      </c>
      <c r="E55" s="12">
        <v>3</v>
      </c>
      <c r="F55" s="8">
        <v>1.51</v>
      </c>
      <c r="G55" s="12">
        <v>5</v>
      </c>
      <c r="H55" s="8">
        <v>2.6</v>
      </c>
      <c r="I55" s="12">
        <v>0</v>
      </c>
    </row>
    <row r="56" spans="2:9" ht="15" customHeight="1" x14ac:dyDescent="0.2">
      <c r="B56" t="s">
        <v>175</v>
      </c>
      <c r="C56" s="12">
        <v>6</v>
      </c>
      <c r="D56" s="8">
        <v>1.53</v>
      </c>
      <c r="E56" s="12">
        <v>4</v>
      </c>
      <c r="F56" s="8">
        <v>2.0099999999999998</v>
      </c>
      <c r="G56" s="12">
        <v>2</v>
      </c>
      <c r="H56" s="8">
        <v>1.04</v>
      </c>
      <c r="I56" s="12">
        <v>0</v>
      </c>
    </row>
    <row r="57" spans="2:9" ht="15" customHeight="1" x14ac:dyDescent="0.2">
      <c r="B57" t="s">
        <v>162</v>
      </c>
      <c r="C57" s="12">
        <v>6</v>
      </c>
      <c r="D57" s="8">
        <v>1.53</v>
      </c>
      <c r="E57" s="12">
        <v>4</v>
      </c>
      <c r="F57" s="8">
        <v>2.0099999999999998</v>
      </c>
      <c r="G57" s="12">
        <v>2</v>
      </c>
      <c r="H57" s="8">
        <v>1.04</v>
      </c>
      <c r="I57" s="12">
        <v>0</v>
      </c>
    </row>
    <row r="58" spans="2:9" ht="15" customHeight="1" x14ac:dyDescent="0.2">
      <c r="B58" t="s">
        <v>163</v>
      </c>
      <c r="C58" s="12">
        <v>6</v>
      </c>
      <c r="D58" s="8">
        <v>1.53</v>
      </c>
      <c r="E58" s="12">
        <v>2</v>
      </c>
      <c r="F58" s="8">
        <v>1.01</v>
      </c>
      <c r="G58" s="12">
        <v>4</v>
      </c>
      <c r="H58" s="8">
        <v>2.08</v>
      </c>
      <c r="I58" s="12">
        <v>0</v>
      </c>
    </row>
    <row r="59" spans="2:9" ht="15" customHeight="1" x14ac:dyDescent="0.2">
      <c r="B59" t="s">
        <v>168</v>
      </c>
      <c r="C59" s="12">
        <v>6</v>
      </c>
      <c r="D59" s="8">
        <v>1.53</v>
      </c>
      <c r="E59" s="12">
        <v>2</v>
      </c>
      <c r="F59" s="8">
        <v>1.01</v>
      </c>
      <c r="G59" s="12">
        <v>4</v>
      </c>
      <c r="H59" s="8">
        <v>2.08</v>
      </c>
      <c r="I59" s="12">
        <v>0</v>
      </c>
    </row>
    <row r="60" spans="2:9" ht="15" customHeight="1" x14ac:dyDescent="0.2">
      <c r="B60" t="s">
        <v>143</v>
      </c>
      <c r="C60" s="12">
        <v>6</v>
      </c>
      <c r="D60" s="8">
        <v>1.53</v>
      </c>
      <c r="E60" s="12">
        <v>3</v>
      </c>
      <c r="F60" s="8">
        <v>1.51</v>
      </c>
      <c r="G60" s="12">
        <v>3</v>
      </c>
      <c r="H60" s="8">
        <v>1.56</v>
      </c>
      <c r="I60" s="12">
        <v>0</v>
      </c>
    </row>
    <row r="61" spans="2:9" ht="15" customHeight="1" x14ac:dyDescent="0.2">
      <c r="B61" t="s">
        <v>155</v>
      </c>
      <c r="C61" s="12">
        <v>6</v>
      </c>
      <c r="D61" s="8">
        <v>1.53</v>
      </c>
      <c r="E61" s="12">
        <v>3</v>
      </c>
      <c r="F61" s="8">
        <v>1.51</v>
      </c>
      <c r="G61" s="12">
        <v>3</v>
      </c>
      <c r="H61" s="8">
        <v>1.56</v>
      </c>
      <c r="I61" s="12">
        <v>0</v>
      </c>
    </row>
    <row r="62" spans="2:9" ht="15" customHeight="1" x14ac:dyDescent="0.2">
      <c r="B62" t="s">
        <v>170</v>
      </c>
      <c r="C62" s="12">
        <v>6</v>
      </c>
      <c r="D62" s="8">
        <v>1.53</v>
      </c>
      <c r="E62" s="12">
        <v>5</v>
      </c>
      <c r="F62" s="8">
        <v>2.5099999999999998</v>
      </c>
      <c r="G62" s="12">
        <v>1</v>
      </c>
      <c r="H62" s="8">
        <v>0.52</v>
      </c>
      <c r="I62" s="12">
        <v>0</v>
      </c>
    </row>
    <row r="63" spans="2:9" ht="15" customHeight="1" x14ac:dyDescent="0.2">
      <c r="B63" t="s">
        <v>147</v>
      </c>
      <c r="C63" s="12">
        <v>6</v>
      </c>
      <c r="D63" s="8">
        <v>1.53</v>
      </c>
      <c r="E63" s="12">
        <v>6</v>
      </c>
      <c r="F63" s="8">
        <v>3.02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232</v>
      </c>
      <c r="C64" s="12">
        <v>5</v>
      </c>
      <c r="D64" s="8">
        <v>1.27</v>
      </c>
      <c r="E64" s="12">
        <v>1</v>
      </c>
      <c r="F64" s="8">
        <v>0.5</v>
      </c>
      <c r="G64" s="12">
        <v>4</v>
      </c>
      <c r="H64" s="8">
        <v>2.08</v>
      </c>
      <c r="I64" s="12">
        <v>0</v>
      </c>
    </row>
    <row r="65" spans="2:9" ht="15" customHeight="1" x14ac:dyDescent="0.2">
      <c r="B65" t="s">
        <v>215</v>
      </c>
      <c r="C65" s="12">
        <v>5</v>
      </c>
      <c r="D65" s="8">
        <v>1.27</v>
      </c>
      <c r="E65" s="12">
        <v>2</v>
      </c>
      <c r="F65" s="8">
        <v>1.01</v>
      </c>
      <c r="G65" s="12">
        <v>3</v>
      </c>
      <c r="H65" s="8">
        <v>1.56</v>
      </c>
      <c r="I65" s="12">
        <v>0</v>
      </c>
    </row>
    <row r="66" spans="2:9" ht="15" customHeight="1" x14ac:dyDescent="0.2">
      <c r="B66" t="s">
        <v>166</v>
      </c>
      <c r="C66" s="12">
        <v>5</v>
      </c>
      <c r="D66" s="8">
        <v>1.27</v>
      </c>
      <c r="E66" s="12">
        <v>3</v>
      </c>
      <c r="F66" s="8">
        <v>1.51</v>
      </c>
      <c r="G66" s="12">
        <v>2</v>
      </c>
      <c r="H66" s="8">
        <v>1.04</v>
      </c>
      <c r="I66" s="12">
        <v>0</v>
      </c>
    </row>
    <row r="67" spans="2:9" ht="15" customHeight="1" x14ac:dyDescent="0.2">
      <c r="B67" t="s">
        <v>145</v>
      </c>
      <c r="C67" s="12">
        <v>5</v>
      </c>
      <c r="D67" s="8">
        <v>1.27</v>
      </c>
      <c r="E67" s="12">
        <v>2</v>
      </c>
      <c r="F67" s="8">
        <v>1.01</v>
      </c>
      <c r="G67" s="12">
        <v>3</v>
      </c>
      <c r="H67" s="8">
        <v>1.56</v>
      </c>
      <c r="I67" s="12">
        <v>0</v>
      </c>
    </row>
    <row r="68" spans="2:9" ht="15" customHeight="1" x14ac:dyDescent="0.2">
      <c r="B68" t="s">
        <v>160</v>
      </c>
      <c r="C68" s="12">
        <v>5</v>
      </c>
      <c r="D68" s="8">
        <v>1.27</v>
      </c>
      <c r="E68" s="12">
        <v>2</v>
      </c>
      <c r="F68" s="8">
        <v>1.01</v>
      </c>
      <c r="G68" s="12">
        <v>3</v>
      </c>
      <c r="H68" s="8">
        <v>1.56</v>
      </c>
      <c r="I68" s="12">
        <v>0</v>
      </c>
    </row>
    <row r="69" spans="2:9" ht="15" customHeight="1" x14ac:dyDescent="0.2">
      <c r="B69" t="s">
        <v>152</v>
      </c>
      <c r="C69" s="12">
        <v>5</v>
      </c>
      <c r="D69" s="8">
        <v>1.27</v>
      </c>
      <c r="E69" s="12">
        <v>2</v>
      </c>
      <c r="F69" s="8">
        <v>1.01</v>
      </c>
      <c r="G69" s="12">
        <v>3</v>
      </c>
      <c r="H69" s="8">
        <v>1.56</v>
      </c>
      <c r="I69" s="12">
        <v>0</v>
      </c>
    </row>
    <row r="70" spans="2:9" ht="15" customHeight="1" x14ac:dyDescent="0.2">
      <c r="B70" t="s">
        <v>153</v>
      </c>
      <c r="C70" s="12">
        <v>5</v>
      </c>
      <c r="D70" s="8">
        <v>1.27</v>
      </c>
      <c r="E70" s="12">
        <v>5</v>
      </c>
      <c r="F70" s="8">
        <v>2.5099999999999998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8951-288D-4060-90B7-C09A9D8D1C28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</v>
      </c>
      <c r="D6" s="8">
        <v>14.08</v>
      </c>
      <c r="E6" s="12">
        <v>13</v>
      </c>
      <c r="F6" s="8">
        <v>14.77</v>
      </c>
      <c r="G6" s="12">
        <v>26</v>
      </c>
      <c r="H6" s="8">
        <v>13.83</v>
      </c>
      <c r="I6" s="12">
        <v>0</v>
      </c>
    </row>
    <row r="7" spans="2:9" ht="15" customHeight="1" x14ac:dyDescent="0.2">
      <c r="B7" t="s">
        <v>53</v>
      </c>
      <c r="C7" s="12">
        <v>15</v>
      </c>
      <c r="D7" s="8">
        <v>5.42</v>
      </c>
      <c r="E7" s="12">
        <v>2</v>
      </c>
      <c r="F7" s="8">
        <v>2.27</v>
      </c>
      <c r="G7" s="12">
        <v>13</v>
      </c>
      <c r="H7" s="8">
        <v>6.91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0.72</v>
      </c>
      <c r="E8" s="12">
        <v>0</v>
      </c>
      <c r="F8" s="8">
        <v>0</v>
      </c>
      <c r="G8" s="12">
        <v>2</v>
      </c>
      <c r="H8" s="8">
        <v>1.06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0.53</v>
      </c>
      <c r="I9" s="12">
        <v>0</v>
      </c>
    </row>
    <row r="10" spans="2:9" ht="15" customHeight="1" x14ac:dyDescent="0.2">
      <c r="B10" t="s">
        <v>56</v>
      </c>
      <c r="C10" s="12">
        <v>2</v>
      </c>
      <c r="D10" s="8">
        <v>0.72</v>
      </c>
      <c r="E10" s="12">
        <v>2</v>
      </c>
      <c r="F10" s="8">
        <v>2.27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107</v>
      </c>
      <c r="D11" s="8">
        <v>38.630000000000003</v>
      </c>
      <c r="E11" s="12">
        <v>22</v>
      </c>
      <c r="F11" s="8">
        <v>25</v>
      </c>
      <c r="G11" s="12">
        <v>85</v>
      </c>
      <c r="H11" s="8">
        <v>45.21</v>
      </c>
      <c r="I11" s="12">
        <v>0</v>
      </c>
    </row>
    <row r="12" spans="2:9" ht="15" customHeight="1" x14ac:dyDescent="0.2">
      <c r="B12" t="s">
        <v>58</v>
      </c>
      <c r="C12" s="12">
        <v>3</v>
      </c>
      <c r="D12" s="8">
        <v>1.08</v>
      </c>
      <c r="E12" s="12">
        <v>0</v>
      </c>
      <c r="F12" s="8">
        <v>0</v>
      </c>
      <c r="G12" s="12">
        <v>3</v>
      </c>
      <c r="H12" s="8">
        <v>1.6</v>
      </c>
      <c r="I12" s="12">
        <v>0</v>
      </c>
    </row>
    <row r="13" spans="2:9" ht="15" customHeight="1" x14ac:dyDescent="0.2">
      <c r="B13" t="s">
        <v>59</v>
      </c>
      <c r="C13" s="12">
        <v>33</v>
      </c>
      <c r="D13" s="8">
        <v>11.91</v>
      </c>
      <c r="E13" s="12">
        <v>18</v>
      </c>
      <c r="F13" s="8">
        <v>20.45</v>
      </c>
      <c r="G13" s="12">
        <v>15</v>
      </c>
      <c r="H13" s="8">
        <v>7.98</v>
      </c>
      <c r="I13" s="12">
        <v>0</v>
      </c>
    </row>
    <row r="14" spans="2:9" ht="15" customHeight="1" x14ac:dyDescent="0.2">
      <c r="B14" t="s">
        <v>60</v>
      </c>
      <c r="C14" s="12">
        <v>10</v>
      </c>
      <c r="D14" s="8">
        <v>3.61</v>
      </c>
      <c r="E14" s="12">
        <v>2</v>
      </c>
      <c r="F14" s="8">
        <v>2.27</v>
      </c>
      <c r="G14" s="12">
        <v>8</v>
      </c>
      <c r="H14" s="8">
        <v>4.26</v>
      </c>
      <c r="I14" s="12">
        <v>0</v>
      </c>
    </row>
    <row r="15" spans="2:9" ht="15" customHeight="1" x14ac:dyDescent="0.2">
      <c r="B15" t="s">
        <v>61</v>
      </c>
      <c r="C15" s="12">
        <v>12</v>
      </c>
      <c r="D15" s="8">
        <v>4.33</v>
      </c>
      <c r="E15" s="12">
        <v>5</v>
      </c>
      <c r="F15" s="8">
        <v>5.68</v>
      </c>
      <c r="G15" s="12">
        <v>7</v>
      </c>
      <c r="H15" s="8">
        <v>3.72</v>
      </c>
      <c r="I15" s="12">
        <v>0</v>
      </c>
    </row>
    <row r="16" spans="2:9" ht="15" customHeight="1" x14ac:dyDescent="0.2">
      <c r="B16" t="s">
        <v>62</v>
      </c>
      <c r="C16" s="12">
        <v>24</v>
      </c>
      <c r="D16" s="8">
        <v>8.66</v>
      </c>
      <c r="E16" s="12">
        <v>12</v>
      </c>
      <c r="F16" s="8">
        <v>13.64</v>
      </c>
      <c r="G16" s="12">
        <v>12</v>
      </c>
      <c r="H16" s="8">
        <v>6.38</v>
      </c>
      <c r="I16" s="12">
        <v>0</v>
      </c>
    </row>
    <row r="17" spans="2:9" ht="15" customHeight="1" x14ac:dyDescent="0.2">
      <c r="B17" t="s">
        <v>63</v>
      </c>
      <c r="C17" s="12">
        <v>5</v>
      </c>
      <c r="D17" s="8">
        <v>1.81</v>
      </c>
      <c r="E17" s="12">
        <v>4</v>
      </c>
      <c r="F17" s="8">
        <v>4.55</v>
      </c>
      <c r="G17" s="12">
        <v>1</v>
      </c>
      <c r="H17" s="8">
        <v>0.53</v>
      </c>
      <c r="I17" s="12">
        <v>0</v>
      </c>
    </row>
    <row r="18" spans="2:9" ht="15" customHeight="1" x14ac:dyDescent="0.2">
      <c r="B18" t="s">
        <v>64</v>
      </c>
      <c r="C18" s="12">
        <v>10</v>
      </c>
      <c r="D18" s="8">
        <v>3.61</v>
      </c>
      <c r="E18" s="12">
        <v>3</v>
      </c>
      <c r="F18" s="8">
        <v>3.41</v>
      </c>
      <c r="G18" s="12">
        <v>7</v>
      </c>
      <c r="H18" s="8">
        <v>3.72</v>
      </c>
      <c r="I18" s="12">
        <v>0</v>
      </c>
    </row>
    <row r="19" spans="2:9" ht="15" customHeight="1" x14ac:dyDescent="0.2">
      <c r="B19" t="s">
        <v>65</v>
      </c>
      <c r="C19" s="12">
        <v>14</v>
      </c>
      <c r="D19" s="8">
        <v>5.05</v>
      </c>
      <c r="E19" s="12">
        <v>5</v>
      </c>
      <c r="F19" s="8">
        <v>5.68</v>
      </c>
      <c r="G19" s="12">
        <v>8</v>
      </c>
      <c r="H19" s="8">
        <v>4.26</v>
      </c>
      <c r="I19" s="12">
        <v>0</v>
      </c>
    </row>
    <row r="20" spans="2:9" ht="15" customHeight="1" x14ac:dyDescent="0.2">
      <c r="B20" s="9" t="s">
        <v>281</v>
      </c>
      <c r="C20" s="12">
        <f>SUM(LTBL_43442[総数／事業所数])</f>
        <v>277</v>
      </c>
      <c r="E20" s="12">
        <f>SUBTOTAL(109,LTBL_43442[個人／事業所数])</f>
        <v>88</v>
      </c>
      <c r="G20" s="12">
        <f>SUBTOTAL(109,LTBL_43442[法人／事業所数])</f>
        <v>188</v>
      </c>
      <c r="I20" s="12">
        <f>SUBTOTAL(109,LTBL_43442[法人以外の団体／事業所数])</f>
        <v>0</v>
      </c>
    </row>
    <row r="21" spans="2:9" ht="15" customHeight="1" x14ac:dyDescent="0.2">
      <c r="E21" s="11">
        <f>LTBL_43442[[#Totals],[個人／事業所数]]/LTBL_43442[[#Totals],[総数／事業所数]]</f>
        <v>0.3176895306859206</v>
      </c>
      <c r="G21" s="11">
        <f>LTBL_43442[[#Totals],[法人／事業所数]]/LTBL_43442[[#Totals],[総数／事業所数]]</f>
        <v>0.67870036101083031</v>
      </c>
      <c r="I21" s="11">
        <f>LTBL_43442[[#Totals],[法人以外の団体／事業所数]]/LTBL_43442[[#Totals],[総数／事業所数]]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80</v>
      </c>
      <c r="C24" s="12">
        <v>31</v>
      </c>
      <c r="D24" s="8">
        <v>11.19</v>
      </c>
      <c r="E24" s="12">
        <v>2</v>
      </c>
      <c r="F24" s="8">
        <v>2.27</v>
      </c>
      <c r="G24" s="12">
        <v>29</v>
      </c>
      <c r="H24" s="8">
        <v>15.43</v>
      </c>
      <c r="I24" s="12">
        <v>0</v>
      </c>
    </row>
    <row r="25" spans="2:9" ht="15" customHeight="1" x14ac:dyDescent="0.2">
      <c r="B25" t="s">
        <v>83</v>
      </c>
      <c r="C25" s="12">
        <v>29</v>
      </c>
      <c r="D25" s="8">
        <v>10.47</v>
      </c>
      <c r="E25" s="12">
        <v>5</v>
      </c>
      <c r="F25" s="8">
        <v>5.68</v>
      </c>
      <c r="G25" s="12">
        <v>24</v>
      </c>
      <c r="H25" s="8">
        <v>12.77</v>
      </c>
      <c r="I25" s="12">
        <v>0</v>
      </c>
    </row>
    <row r="26" spans="2:9" ht="15" customHeight="1" x14ac:dyDescent="0.2">
      <c r="B26" t="s">
        <v>85</v>
      </c>
      <c r="C26" s="12">
        <v>23</v>
      </c>
      <c r="D26" s="8">
        <v>8.3000000000000007</v>
      </c>
      <c r="E26" s="12">
        <v>17</v>
      </c>
      <c r="F26" s="8">
        <v>19.32</v>
      </c>
      <c r="G26" s="12">
        <v>6</v>
      </c>
      <c r="H26" s="8">
        <v>3.19</v>
      </c>
      <c r="I26" s="12">
        <v>0</v>
      </c>
    </row>
    <row r="27" spans="2:9" ht="15" customHeight="1" x14ac:dyDescent="0.2">
      <c r="B27" t="s">
        <v>74</v>
      </c>
      <c r="C27" s="12">
        <v>21</v>
      </c>
      <c r="D27" s="8">
        <v>7.58</v>
      </c>
      <c r="E27" s="12">
        <v>5</v>
      </c>
      <c r="F27" s="8">
        <v>5.68</v>
      </c>
      <c r="G27" s="12">
        <v>16</v>
      </c>
      <c r="H27" s="8">
        <v>8.51</v>
      </c>
      <c r="I27" s="12">
        <v>0</v>
      </c>
    </row>
    <row r="28" spans="2:9" ht="15" customHeight="1" x14ac:dyDescent="0.2">
      <c r="B28" t="s">
        <v>82</v>
      </c>
      <c r="C28" s="12">
        <v>17</v>
      </c>
      <c r="D28" s="8">
        <v>6.14</v>
      </c>
      <c r="E28" s="12">
        <v>7</v>
      </c>
      <c r="F28" s="8">
        <v>7.95</v>
      </c>
      <c r="G28" s="12">
        <v>10</v>
      </c>
      <c r="H28" s="8">
        <v>5.32</v>
      </c>
      <c r="I28" s="12">
        <v>0</v>
      </c>
    </row>
    <row r="29" spans="2:9" ht="15" customHeight="1" x14ac:dyDescent="0.2">
      <c r="B29" t="s">
        <v>89</v>
      </c>
      <c r="C29" s="12">
        <v>17</v>
      </c>
      <c r="D29" s="8">
        <v>6.14</v>
      </c>
      <c r="E29" s="12">
        <v>12</v>
      </c>
      <c r="F29" s="8">
        <v>13.64</v>
      </c>
      <c r="G29" s="12">
        <v>5</v>
      </c>
      <c r="H29" s="8">
        <v>2.66</v>
      </c>
      <c r="I29" s="12">
        <v>0</v>
      </c>
    </row>
    <row r="30" spans="2:9" ht="15" customHeight="1" x14ac:dyDescent="0.2">
      <c r="B30" t="s">
        <v>75</v>
      </c>
      <c r="C30" s="12">
        <v>10</v>
      </c>
      <c r="D30" s="8">
        <v>3.61</v>
      </c>
      <c r="E30" s="12">
        <v>4</v>
      </c>
      <c r="F30" s="8">
        <v>4.55</v>
      </c>
      <c r="G30" s="12">
        <v>6</v>
      </c>
      <c r="H30" s="8">
        <v>3.19</v>
      </c>
      <c r="I30" s="12">
        <v>0</v>
      </c>
    </row>
    <row r="31" spans="2:9" ht="15" customHeight="1" x14ac:dyDescent="0.2">
      <c r="B31" t="s">
        <v>81</v>
      </c>
      <c r="C31" s="12">
        <v>10</v>
      </c>
      <c r="D31" s="8">
        <v>3.61</v>
      </c>
      <c r="E31" s="12">
        <v>6</v>
      </c>
      <c r="F31" s="8">
        <v>6.82</v>
      </c>
      <c r="G31" s="12">
        <v>4</v>
      </c>
      <c r="H31" s="8">
        <v>2.13</v>
      </c>
      <c r="I31" s="12">
        <v>0</v>
      </c>
    </row>
    <row r="32" spans="2:9" ht="15" customHeight="1" x14ac:dyDescent="0.2">
      <c r="B32" t="s">
        <v>88</v>
      </c>
      <c r="C32" s="12">
        <v>9</v>
      </c>
      <c r="D32" s="8">
        <v>3.25</v>
      </c>
      <c r="E32" s="12">
        <v>5</v>
      </c>
      <c r="F32" s="8">
        <v>5.68</v>
      </c>
      <c r="G32" s="12">
        <v>4</v>
      </c>
      <c r="H32" s="8">
        <v>2.13</v>
      </c>
      <c r="I32" s="12">
        <v>0</v>
      </c>
    </row>
    <row r="33" spans="2:9" ht="15" customHeight="1" x14ac:dyDescent="0.2">
      <c r="B33" t="s">
        <v>76</v>
      </c>
      <c r="C33" s="12">
        <v>8</v>
      </c>
      <c r="D33" s="8">
        <v>2.89</v>
      </c>
      <c r="E33" s="12">
        <v>4</v>
      </c>
      <c r="F33" s="8">
        <v>4.55</v>
      </c>
      <c r="G33" s="12">
        <v>4</v>
      </c>
      <c r="H33" s="8">
        <v>2.13</v>
      </c>
      <c r="I33" s="12">
        <v>0</v>
      </c>
    </row>
    <row r="34" spans="2:9" ht="15" customHeight="1" x14ac:dyDescent="0.2">
      <c r="B34" t="s">
        <v>99</v>
      </c>
      <c r="C34" s="12">
        <v>8</v>
      </c>
      <c r="D34" s="8">
        <v>2.89</v>
      </c>
      <c r="E34" s="12">
        <v>0</v>
      </c>
      <c r="F34" s="8">
        <v>0</v>
      </c>
      <c r="G34" s="12">
        <v>8</v>
      </c>
      <c r="H34" s="8">
        <v>4.26</v>
      </c>
      <c r="I34" s="12">
        <v>0</v>
      </c>
    </row>
    <row r="35" spans="2:9" ht="15" customHeight="1" x14ac:dyDescent="0.2">
      <c r="B35" t="s">
        <v>92</v>
      </c>
      <c r="C35" s="12">
        <v>7</v>
      </c>
      <c r="D35" s="8">
        <v>2.5299999999999998</v>
      </c>
      <c r="E35" s="12">
        <v>0</v>
      </c>
      <c r="F35" s="8">
        <v>0</v>
      </c>
      <c r="G35" s="12">
        <v>7</v>
      </c>
      <c r="H35" s="8">
        <v>3.72</v>
      </c>
      <c r="I35" s="12">
        <v>0</v>
      </c>
    </row>
    <row r="36" spans="2:9" ht="15" customHeight="1" x14ac:dyDescent="0.2">
      <c r="B36" t="s">
        <v>84</v>
      </c>
      <c r="C36" s="12">
        <v>6</v>
      </c>
      <c r="D36" s="8">
        <v>2.17</v>
      </c>
      <c r="E36" s="12">
        <v>1</v>
      </c>
      <c r="F36" s="8">
        <v>1.1399999999999999</v>
      </c>
      <c r="G36" s="12">
        <v>5</v>
      </c>
      <c r="H36" s="8">
        <v>2.66</v>
      </c>
      <c r="I36" s="12">
        <v>0</v>
      </c>
    </row>
    <row r="37" spans="2:9" ht="15" customHeight="1" x14ac:dyDescent="0.2">
      <c r="B37" t="s">
        <v>86</v>
      </c>
      <c r="C37" s="12">
        <v>6</v>
      </c>
      <c r="D37" s="8">
        <v>2.17</v>
      </c>
      <c r="E37" s="12">
        <v>1</v>
      </c>
      <c r="F37" s="8">
        <v>1.1399999999999999</v>
      </c>
      <c r="G37" s="12">
        <v>5</v>
      </c>
      <c r="H37" s="8">
        <v>2.66</v>
      </c>
      <c r="I37" s="12">
        <v>0</v>
      </c>
    </row>
    <row r="38" spans="2:9" ht="15" customHeight="1" x14ac:dyDescent="0.2">
      <c r="B38" t="s">
        <v>97</v>
      </c>
      <c r="C38" s="12">
        <v>6</v>
      </c>
      <c r="D38" s="8">
        <v>2.17</v>
      </c>
      <c r="E38" s="12">
        <v>0</v>
      </c>
      <c r="F38" s="8">
        <v>0</v>
      </c>
      <c r="G38" s="12">
        <v>6</v>
      </c>
      <c r="H38" s="8">
        <v>3.19</v>
      </c>
      <c r="I38" s="12">
        <v>0</v>
      </c>
    </row>
    <row r="39" spans="2:9" ht="15" customHeight="1" x14ac:dyDescent="0.2">
      <c r="B39" t="s">
        <v>90</v>
      </c>
      <c r="C39" s="12">
        <v>5</v>
      </c>
      <c r="D39" s="8">
        <v>1.81</v>
      </c>
      <c r="E39" s="12">
        <v>4</v>
      </c>
      <c r="F39" s="8">
        <v>4.55</v>
      </c>
      <c r="G39" s="12">
        <v>1</v>
      </c>
      <c r="H39" s="8">
        <v>0.53</v>
      </c>
      <c r="I39" s="12">
        <v>0</v>
      </c>
    </row>
    <row r="40" spans="2:9" ht="15" customHeight="1" x14ac:dyDescent="0.2">
      <c r="B40" t="s">
        <v>77</v>
      </c>
      <c r="C40" s="12">
        <v>4</v>
      </c>
      <c r="D40" s="8">
        <v>1.44</v>
      </c>
      <c r="E40" s="12">
        <v>0</v>
      </c>
      <c r="F40" s="8">
        <v>0</v>
      </c>
      <c r="G40" s="12">
        <v>4</v>
      </c>
      <c r="H40" s="8">
        <v>2.13</v>
      </c>
      <c r="I40" s="12">
        <v>0</v>
      </c>
    </row>
    <row r="41" spans="2:9" ht="15" customHeight="1" x14ac:dyDescent="0.2">
      <c r="B41" t="s">
        <v>78</v>
      </c>
      <c r="C41" s="12">
        <v>4</v>
      </c>
      <c r="D41" s="8">
        <v>1.44</v>
      </c>
      <c r="E41" s="12">
        <v>1</v>
      </c>
      <c r="F41" s="8">
        <v>1.1399999999999999</v>
      </c>
      <c r="G41" s="12">
        <v>3</v>
      </c>
      <c r="H41" s="8">
        <v>1.6</v>
      </c>
      <c r="I41" s="12">
        <v>0</v>
      </c>
    </row>
    <row r="42" spans="2:9" ht="15" customHeight="1" x14ac:dyDescent="0.2">
      <c r="B42" t="s">
        <v>98</v>
      </c>
      <c r="C42" s="12">
        <v>4</v>
      </c>
      <c r="D42" s="8">
        <v>1.44</v>
      </c>
      <c r="E42" s="12">
        <v>1</v>
      </c>
      <c r="F42" s="8">
        <v>1.1399999999999999</v>
      </c>
      <c r="G42" s="12">
        <v>3</v>
      </c>
      <c r="H42" s="8">
        <v>1.6</v>
      </c>
      <c r="I42" s="12">
        <v>0</v>
      </c>
    </row>
    <row r="43" spans="2:9" ht="15" customHeight="1" x14ac:dyDescent="0.2">
      <c r="B43" t="s">
        <v>117</v>
      </c>
      <c r="C43" s="12">
        <v>4</v>
      </c>
      <c r="D43" s="8">
        <v>1.44</v>
      </c>
      <c r="E43" s="12">
        <v>0</v>
      </c>
      <c r="F43" s="8">
        <v>0</v>
      </c>
      <c r="G43" s="12">
        <v>4</v>
      </c>
      <c r="H43" s="8">
        <v>2.13</v>
      </c>
      <c r="I43" s="12">
        <v>0</v>
      </c>
    </row>
    <row r="44" spans="2:9" ht="15" customHeight="1" x14ac:dyDescent="0.2">
      <c r="B44" t="s">
        <v>87</v>
      </c>
      <c r="C44" s="12">
        <v>4</v>
      </c>
      <c r="D44" s="8">
        <v>1.44</v>
      </c>
      <c r="E44" s="12">
        <v>1</v>
      </c>
      <c r="F44" s="8">
        <v>1.1399999999999999</v>
      </c>
      <c r="G44" s="12">
        <v>3</v>
      </c>
      <c r="H44" s="8">
        <v>1.6</v>
      </c>
      <c r="I44" s="12">
        <v>0</v>
      </c>
    </row>
    <row r="45" spans="2:9" ht="15" customHeight="1" x14ac:dyDescent="0.2">
      <c r="B45" t="s">
        <v>93</v>
      </c>
      <c r="C45" s="12">
        <v>4</v>
      </c>
      <c r="D45" s="8">
        <v>1.44</v>
      </c>
      <c r="E45" s="12">
        <v>3</v>
      </c>
      <c r="F45" s="8">
        <v>3.41</v>
      </c>
      <c r="G45" s="12">
        <v>1</v>
      </c>
      <c r="H45" s="8">
        <v>0.53</v>
      </c>
      <c r="I45" s="12">
        <v>0</v>
      </c>
    </row>
    <row r="46" spans="2:9" ht="15" customHeight="1" x14ac:dyDescent="0.2">
      <c r="B46" t="s">
        <v>95</v>
      </c>
      <c r="C46" s="12">
        <v>4</v>
      </c>
      <c r="D46" s="8">
        <v>1.44</v>
      </c>
      <c r="E46" s="12">
        <v>0</v>
      </c>
      <c r="F46" s="8">
        <v>0</v>
      </c>
      <c r="G46" s="12">
        <v>4</v>
      </c>
      <c r="H46" s="8">
        <v>2.13</v>
      </c>
      <c r="I46" s="12">
        <v>0</v>
      </c>
    </row>
    <row r="49" spans="2:9" ht="33" customHeight="1" x14ac:dyDescent="0.2">
      <c r="B49" t="s">
        <v>283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145</v>
      </c>
      <c r="C50" s="12">
        <v>18</v>
      </c>
      <c r="D50" s="8">
        <v>6.5</v>
      </c>
      <c r="E50" s="12">
        <v>16</v>
      </c>
      <c r="F50" s="8">
        <v>18.18</v>
      </c>
      <c r="G50" s="12">
        <v>2</v>
      </c>
      <c r="H50" s="8">
        <v>1.06</v>
      </c>
      <c r="I50" s="12">
        <v>0</v>
      </c>
    </row>
    <row r="51" spans="2:9" ht="15" customHeight="1" x14ac:dyDescent="0.2">
      <c r="B51" t="s">
        <v>139</v>
      </c>
      <c r="C51" s="12">
        <v>15</v>
      </c>
      <c r="D51" s="8">
        <v>5.42</v>
      </c>
      <c r="E51" s="12">
        <v>2</v>
      </c>
      <c r="F51" s="8">
        <v>2.27</v>
      </c>
      <c r="G51" s="12">
        <v>13</v>
      </c>
      <c r="H51" s="8">
        <v>6.91</v>
      </c>
      <c r="I51" s="12">
        <v>0</v>
      </c>
    </row>
    <row r="52" spans="2:9" ht="15" customHeight="1" x14ac:dyDescent="0.2">
      <c r="B52" t="s">
        <v>141</v>
      </c>
      <c r="C52" s="12">
        <v>11</v>
      </c>
      <c r="D52" s="8">
        <v>3.97</v>
      </c>
      <c r="E52" s="12">
        <v>4</v>
      </c>
      <c r="F52" s="8">
        <v>4.55</v>
      </c>
      <c r="G52" s="12">
        <v>7</v>
      </c>
      <c r="H52" s="8">
        <v>3.72</v>
      </c>
      <c r="I52" s="12">
        <v>0</v>
      </c>
    </row>
    <row r="53" spans="2:9" ht="15" customHeight="1" x14ac:dyDescent="0.2">
      <c r="B53" t="s">
        <v>135</v>
      </c>
      <c r="C53" s="12">
        <v>9</v>
      </c>
      <c r="D53" s="8">
        <v>3.25</v>
      </c>
      <c r="E53" s="12">
        <v>1</v>
      </c>
      <c r="F53" s="8">
        <v>1.1399999999999999</v>
      </c>
      <c r="G53" s="12">
        <v>8</v>
      </c>
      <c r="H53" s="8">
        <v>4.26</v>
      </c>
      <c r="I53" s="12">
        <v>0</v>
      </c>
    </row>
    <row r="54" spans="2:9" ht="15" customHeight="1" x14ac:dyDescent="0.2">
      <c r="B54" t="s">
        <v>219</v>
      </c>
      <c r="C54" s="12">
        <v>8</v>
      </c>
      <c r="D54" s="8">
        <v>2.89</v>
      </c>
      <c r="E54" s="12">
        <v>0</v>
      </c>
      <c r="F54" s="8">
        <v>0</v>
      </c>
      <c r="G54" s="12">
        <v>8</v>
      </c>
      <c r="H54" s="8">
        <v>4.26</v>
      </c>
      <c r="I54" s="12">
        <v>0</v>
      </c>
    </row>
    <row r="55" spans="2:9" ht="15" customHeight="1" x14ac:dyDescent="0.2">
      <c r="B55" t="s">
        <v>143</v>
      </c>
      <c r="C55" s="12">
        <v>8</v>
      </c>
      <c r="D55" s="8">
        <v>2.89</v>
      </c>
      <c r="E55" s="12">
        <v>3</v>
      </c>
      <c r="F55" s="8">
        <v>3.41</v>
      </c>
      <c r="G55" s="12">
        <v>5</v>
      </c>
      <c r="H55" s="8">
        <v>2.66</v>
      </c>
      <c r="I55" s="12">
        <v>0</v>
      </c>
    </row>
    <row r="56" spans="2:9" ht="15" customHeight="1" x14ac:dyDescent="0.2">
      <c r="B56" t="s">
        <v>150</v>
      </c>
      <c r="C56" s="12">
        <v>7</v>
      </c>
      <c r="D56" s="8">
        <v>2.5299999999999998</v>
      </c>
      <c r="E56" s="12">
        <v>5</v>
      </c>
      <c r="F56" s="8">
        <v>5.68</v>
      </c>
      <c r="G56" s="12">
        <v>2</v>
      </c>
      <c r="H56" s="8">
        <v>1.06</v>
      </c>
      <c r="I56" s="12">
        <v>0</v>
      </c>
    </row>
    <row r="57" spans="2:9" ht="15" customHeight="1" x14ac:dyDescent="0.2">
      <c r="B57" t="s">
        <v>151</v>
      </c>
      <c r="C57" s="12">
        <v>7</v>
      </c>
      <c r="D57" s="8">
        <v>2.5299999999999998</v>
      </c>
      <c r="E57" s="12">
        <v>6</v>
      </c>
      <c r="F57" s="8">
        <v>6.82</v>
      </c>
      <c r="G57" s="12">
        <v>1</v>
      </c>
      <c r="H57" s="8">
        <v>0.53</v>
      </c>
      <c r="I57" s="12">
        <v>0</v>
      </c>
    </row>
    <row r="58" spans="2:9" ht="15" customHeight="1" x14ac:dyDescent="0.2">
      <c r="B58" t="s">
        <v>137</v>
      </c>
      <c r="C58" s="12">
        <v>6</v>
      </c>
      <c r="D58" s="8">
        <v>2.17</v>
      </c>
      <c r="E58" s="12">
        <v>2</v>
      </c>
      <c r="F58" s="8">
        <v>2.27</v>
      </c>
      <c r="G58" s="12">
        <v>4</v>
      </c>
      <c r="H58" s="8">
        <v>2.13</v>
      </c>
      <c r="I58" s="12">
        <v>0</v>
      </c>
    </row>
    <row r="59" spans="2:9" ht="15" customHeight="1" x14ac:dyDescent="0.2">
      <c r="B59" t="s">
        <v>166</v>
      </c>
      <c r="C59" s="12">
        <v>6</v>
      </c>
      <c r="D59" s="8">
        <v>2.17</v>
      </c>
      <c r="E59" s="12">
        <v>4</v>
      </c>
      <c r="F59" s="8">
        <v>4.55</v>
      </c>
      <c r="G59" s="12">
        <v>2</v>
      </c>
      <c r="H59" s="8">
        <v>1.06</v>
      </c>
      <c r="I59" s="12">
        <v>0</v>
      </c>
    </row>
    <row r="60" spans="2:9" ht="15" customHeight="1" x14ac:dyDescent="0.2">
      <c r="B60" t="s">
        <v>215</v>
      </c>
      <c r="C60" s="12">
        <v>5</v>
      </c>
      <c r="D60" s="8">
        <v>1.81</v>
      </c>
      <c r="E60" s="12">
        <v>0</v>
      </c>
      <c r="F60" s="8">
        <v>0</v>
      </c>
      <c r="G60" s="12">
        <v>5</v>
      </c>
      <c r="H60" s="8">
        <v>2.66</v>
      </c>
      <c r="I60" s="12">
        <v>0</v>
      </c>
    </row>
    <row r="61" spans="2:9" ht="15" customHeight="1" x14ac:dyDescent="0.2">
      <c r="B61" t="s">
        <v>233</v>
      </c>
      <c r="C61" s="12">
        <v>5</v>
      </c>
      <c r="D61" s="8">
        <v>1.81</v>
      </c>
      <c r="E61" s="12">
        <v>0</v>
      </c>
      <c r="F61" s="8">
        <v>0</v>
      </c>
      <c r="G61" s="12">
        <v>5</v>
      </c>
      <c r="H61" s="8">
        <v>2.66</v>
      </c>
      <c r="I61" s="12">
        <v>0</v>
      </c>
    </row>
    <row r="62" spans="2:9" ht="15" customHeight="1" x14ac:dyDescent="0.2">
      <c r="B62" t="s">
        <v>167</v>
      </c>
      <c r="C62" s="12">
        <v>5</v>
      </c>
      <c r="D62" s="8">
        <v>1.81</v>
      </c>
      <c r="E62" s="12">
        <v>2</v>
      </c>
      <c r="F62" s="8">
        <v>2.27</v>
      </c>
      <c r="G62" s="12">
        <v>3</v>
      </c>
      <c r="H62" s="8">
        <v>1.6</v>
      </c>
      <c r="I62" s="12">
        <v>0</v>
      </c>
    </row>
    <row r="63" spans="2:9" ht="15" customHeight="1" x14ac:dyDescent="0.2">
      <c r="B63" t="s">
        <v>168</v>
      </c>
      <c r="C63" s="12">
        <v>5</v>
      </c>
      <c r="D63" s="8">
        <v>1.81</v>
      </c>
      <c r="E63" s="12">
        <v>0</v>
      </c>
      <c r="F63" s="8">
        <v>0</v>
      </c>
      <c r="G63" s="12">
        <v>5</v>
      </c>
      <c r="H63" s="8">
        <v>2.66</v>
      </c>
      <c r="I63" s="12">
        <v>0</v>
      </c>
    </row>
    <row r="64" spans="2:9" ht="15" customHeight="1" x14ac:dyDescent="0.2">
      <c r="B64" t="s">
        <v>234</v>
      </c>
      <c r="C64" s="12">
        <v>5</v>
      </c>
      <c r="D64" s="8">
        <v>1.81</v>
      </c>
      <c r="E64" s="12">
        <v>0</v>
      </c>
      <c r="F64" s="8">
        <v>0</v>
      </c>
      <c r="G64" s="12">
        <v>5</v>
      </c>
      <c r="H64" s="8">
        <v>2.66</v>
      </c>
      <c r="I64" s="12">
        <v>0</v>
      </c>
    </row>
    <row r="65" spans="2:9" ht="15" customHeight="1" x14ac:dyDescent="0.2">
      <c r="B65" t="s">
        <v>147</v>
      </c>
      <c r="C65" s="12">
        <v>5</v>
      </c>
      <c r="D65" s="8">
        <v>1.81</v>
      </c>
      <c r="E65" s="12">
        <v>3</v>
      </c>
      <c r="F65" s="8">
        <v>3.41</v>
      </c>
      <c r="G65" s="12">
        <v>2</v>
      </c>
      <c r="H65" s="8">
        <v>1.06</v>
      </c>
      <c r="I65" s="12">
        <v>0</v>
      </c>
    </row>
    <row r="66" spans="2:9" ht="15" customHeight="1" x14ac:dyDescent="0.2">
      <c r="B66" t="s">
        <v>171</v>
      </c>
      <c r="C66" s="12">
        <v>5</v>
      </c>
      <c r="D66" s="8">
        <v>1.81</v>
      </c>
      <c r="E66" s="12">
        <v>0</v>
      </c>
      <c r="F66" s="8">
        <v>0</v>
      </c>
      <c r="G66" s="12">
        <v>5</v>
      </c>
      <c r="H66" s="8">
        <v>2.66</v>
      </c>
      <c r="I66" s="12">
        <v>0</v>
      </c>
    </row>
    <row r="67" spans="2:9" ht="15" customHeight="1" x14ac:dyDescent="0.2">
      <c r="B67" t="s">
        <v>138</v>
      </c>
      <c r="C67" s="12">
        <v>4</v>
      </c>
      <c r="D67" s="8">
        <v>1.44</v>
      </c>
      <c r="E67" s="12">
        <v>2</v>
      </c>
      <c r="F67" s="8">
        <v>2.27</v>
      </c>
      <c r="G67" s="12">
        <v>2</v>
      </c>
      <c r="H67" s="8">
        <v>1.06</v>
      </c>
      <c r="I67" s="12">
        <v>0</v>
      </c>
    </row>
    <row r="68" spans="2:9" ht="15" customHeight="1" x14ac:dyDescent="0.2">
      <c r="B68" t="s">
        <v>155</v>
      </c>
      <c r="C68" s="12">
        <v>4</v>
      </c>
      <c r="D68" s="8">
        <v>1.44</v>
      </c>
      <c r="E68" s="12">
        <v>1</v>
      </c>
      <c r="F68" s="8">
        <v>1.1399999999999999</v>
      </c>
      <c r="G68" s="12">
        <v>3</v>
      </c>
      <c r="H68" s="8">
        <v>1.6</v>
      </c>
      <c r="I68" s="12">
        <v>0</v>
      </c>
    </row>
    <row r="69" spans="2:9" ht="15" customHeight="1" x14ac:dyDescent="0.2">
      <c r="B69" t="s">
        <v>148</v>
      </c>
      <c r="C69" s="12">
        <v>4</v>
      </c>
      <c r="D69" s="8">
        <v>1.44</v>
      </c>
      <c r="E69" s="12">
        <v>2</v>
      </c>
      <c r="F69" s="8">
        <v>2.27</v>
      </c>
      <c r="G69" s="12">
        <v>2</v>
      </c>
      <c r="H69" s="8">
        <v>1.06</v>
      </c>
      <c r="I69" s="12">
        <v>0</v>
      </c>
    </row>
    <row r="70" spans="2:9" ht="15" customHeight="1" x14ac:dyDescent="0.2">
      <c r="B70" t="s">
        <v>152</v>
      </c>
      <c r="C70" s="12">
        <v>4</v>
      </c>
      <c r="D70" s="8">
        <v>1.44</v>
      </c>
      <c r="E70" s="12">
        <v>4</v>
      </c>
      <c r="F70" s="8">
        <v>4.55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154</v>
      </c>
      <c r="C71" s="12">
        <v>4</v>
      </c>
      <c r="D71" s="8">
        <v>1.44</v>
      </c>
      <c r="E71" s="12">
        <v>3</v>
      </c>
      <c r="F71" s="8">
        <v>3.41</v>
      </c>
      <c r="G71" s="12">
        <v>1</v>
      </c>
      <c r="H71" s="8">
        <v>0.53</v>
      </c>
      <c r="I71" s="12">
        <v>0</v>
      </c>
    </row>
    <row r="73" spans="2:9" ht="15" customHeight="1" x14ac:dyDescent="0.2">
      <c r="B73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7670-C9E0-436A-8601-AF19D085804B}">
  <sheetPr>
    <pageSetUpPr fitToPage="1"/>
  </sheetPr>
  <dimension ref="A1:I1366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133</v>
      </c>
      <c r="B1" s="3" t="s">
        <v>278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151</v>
      </c>
      <c r="C3" s="4">
        <v>2262</v>
      </c>
      <c r="D3" s="8">
        <v>5.47</v>
      </c>
      <c r="E3" s="4">
        <v>2057</v>
      </c>
      <c r="F3" s="8">
        <v>9.69</v>
      </c>
      <c r="G3" s="4">
        <v>205</v>
      </c>
      <c r="H3" s="8">
        <v>1.05</v>
      </c>
      <c r="I3" s="4">
        <v>0</v>
      </c>
    </row>
    <row r="4" spans="1:9" x14ac:dyDescent="0.2">
      <c r="A4" s="2">
        <v>2</v>
      </c>
      <c r="B4" s="1" t="s">
        <v>145</v>
      </c>
      <c r="C4" s="4">
        <v>1582</v>
      </c>
      <c r="D4" s="8">
        <v>3.82</v>
      </c>
      <c r="E4" s="4">
        <v>747</v>
      </c>
      <c r="F4" s="8">
        <v>3.52</v>
      </c>
      <c r="G4" s="4">
        <v>829</v>
      </c>
      <c r="H4" s="8">
        <v>4.2300000000000004</v>
      </c>
      <c r="I4" s="4">
        <v>0</v>
      </c>
    </row>
    <row r="5" spans="1:9" x14ac:dyDescent="0.2">
      <c r="A5" s="2">
        <v>3</v>
      </c>
      <c r="B5" s="1" t="s">
        <v>150</v>
      </c>
      <c r="C5" s="4">
        <v>1344</v>
      </c>
      <c r="D5" s="8">
        <v>3.25</v>
      </c>
      <c r="E5" s="4">
        <v>1274</v>
      </c>
      <c r="F5" s="8">
        <v>6</v>
      </c>
      <c r="G5" s="4">
        <v>70</v>
      </c>
      <c r="H5" s="8">
        <v>0.36</v>
      </c>
      <c r="I5" s="4">
        <v>0</v>
      </c>
    </row>
    <row r="6" spans="1:9" x14ac:dyDescent="0.2">
      <c r="A6" s="2">
        <v>4</v>
      </c>
      <c r="B6" s="1" t="s">
        <v>135</v>
      </c>
      <c r="C6" s="4">
        <v>1105</v>
      </c>
      <c r="D6" s="8">
        <v>2.67</v>
      </c>
      <c r="E6" s="4">
        <v>169</v>
      </c>
      <c r="F6" s="8">
        <v>0.8</v>
      </c>
      <c r="G6" s="4">
        <v>936</v>
      </c>
      <c r="H6" s="8">
        <v>4.78</v>
      </c>
      <c r="I6" s="4">
        <v>0</v>
      </c>
    </row>
    <row r="7" spans="1:9" x14ac:dyDescent="0.2">
      <c r="A7" s="2">
        <v>5</v>
      </c>
      <c r="B7" s="1" t="s">
        <v>149</v>
      </c>
      <c r="C7" s="4">
        <v>1068</v>
      </c>
      <c r="D7" s="8">
        <v>2.58</v>
      </c>
      <c r="E7" s="4">
        <v>979</v>
      </c>
      <c r="F7" s="8">
        <v>4.6100000000000003</v>
      </c>
      <c r="G7" s="4">
        <v>89</v>
      </c>
      <c r="H7" s="8">
        <v>0.45</v>
      </c>
      <c r="I7" s="4">
        <v>0</v>
      </c>
    </row>
    <row r="8" spans="1:9" x14ac:dyDescent="0.2">
      <c r="A8" s="2">
        <v>6</v>
      </c>
      <c r="B8" s="1" t="s">
        <v>147</v>
      </c>
      <c r="C8" s="4">
        <v>1056</v>
      </c>
      <c r="D8" s="8">
        <v>2.5499999999999998</v>
      </c>
      <c r="E8" s="4">
        <v>818</v>
      </c>
      <c r="F8" s="8">
        <v>3.85</v>
      </c>
      <c r="G8" s="4">
        <v>238</v>
      </c>
      <c r="H8" s="8">
        <v>1.21</v>
      </c>
      <c r="I8" s="4">
        <v>0</v>
      </c>
    </row>
    <row r="9" spans="1:9" x14ac:dyDescent="0.2">
      <c r="A9" s="2">
        <v>7</v>
      </c>
      <c r="B9" s="1" t="s">
        <v>141</v>
      </c>
      <c r="C9" s="4">
        <v>963</v>
      </c>
      <c r="D9" s="8">
        <v>2.33</v>
      </c>
      <c r="E9" s="4">
        <v>601</v>
      </c>
      <c r="F9" s="8">
        <v>2.83</v>
      </c>
      <c r="G9" s="4">
        <v>362</v>
      </c>
      <c r="H9" s="8">
        <v>1.85</v>
      </c>
      <c r="I9" s="4">
        <v>0</v>
      </c>
    </row>
    <row r="10" spans="1:9" x14ac:dyDescent="0.2">
      <c r="A10" s="2">
        <v>8</v>
      </c>
      <c r="B10" s="1" t="s">
        <v>140</v>
      </c>
      <c r="C10" s="4">
        <v>950</v>
      </c>
      <c r="D10" s="8">
        <v>2.2999999999999998</v>
      </c>
      <c r="E10" s="4">
        <v>621</v>
      </c>
      <c r="F10" s="8">
        <v>2.92</v>
      </c>
      <c r="G10" s="4">
        <v>324</v>
      </c>
      <c r="H10" s="8">
        <v>1.65</v>
      </c>
      <c r="I10" s="4">
        <v>5</v>
      </c>
    </row>
    <row r="11" spans="1:9" x14ac:dyDescent="0.2">
      <c r="A11" s="2">
        <v>9</v>
      </c>
      <c r="B11" s="1" t="s">
        <v>153</v>
      </c>
      <c r="C11" s="4">
        <v>911</v>
      </c>
      <c r="D11" s="8">
        <v>2.2000000000000002</v>
      </c>
      <c r="E11" s="4">
        <v>824</v>
      </c>
      <c r="F11" s="8">
        <v>3.88</v>
      </c>
      <c r="G11" s="4">
        <v>87</v>
      </c>
      <c r="H11" s="8">
        <v>0.44</v>
      </c>
      <c r="I11" s="4">
        <v>0</v>
      </c>
    </row>
    <row r="12" spans="1:9" x14ac:dyDescent="0.2">
      <c r="A12" s="2">
        <v>10</v>
      </c>
      <c r="B12" s="1" t="s">
        <v>148</v>
      </c>
      <c r="C12" s="4">
        <v>902</v>
      </c>
      <c r="D12" s="8">
        <v>2.1800000000000002</v>
      </c>
      <c r="E12" s="4">
        <v>804</v>
      </c>
      <c r="F12" s="8">
        <v>3.79</v>
      </c>
      <c r="G12" s="4">
        <v>98</v>
      </c>
      <c r="H12" s="8">
        <v>0.5</v>
      </c>
      <c r="I12" s="4">
        <v>0</v>
      </c>
    </row>
    <row r="13" spans="1:9" x14ac:dyDescent="0.2">
      <c r="A13" s="2">
        <v>11</v>
      </c>
      <c r="B13" s="1" t="s">
        <v>143</v>
      </c>
      <c r="C13" s="4">
        <v>818</v>
      </c>
      <c r="D13" s="8">
        <v>1.98</v>
      </c>
      <c r="E13" s="4">
        <v>543</v>
      </c>
      <c r="F13" s="8">
        <v>2.56</v>
      </c>
      <c r="G13" s="4">
        <v>275</v>
      </c>
      <c r="H13" s="8">
        <v>1.4</v>
      </c>
      <c r="I13" s="4">
        <v>0</v>
      </c>
    </row>
    <row r="14" spans="1:9" x14ac:dyDescent="0.2">
      <c r="A14" s="2">
        <v>12</v>
      </c>
      <c r="B14" s="1" t="s">
        <v>152</v>
      </c>
      <c r="C14" s="4">
        <v>816</v>
      </c>
      <c r="D14" s="8">
        <v>1.97</v>
      </c>
      <c r="E14" s="4">
        <v>640</v>
      </c>
      <c r="F14" s="8">
        <v>3.01</v>
      </c>
      <c r="G14" s="4">
        <v>171</v>
      </c>
      <c r="H14" s="8">
        <v>0.87</v>
      </c>
      <c r="I14" s="4">
        <v>4</v>
      </c>
    </row>
    <row r="15" spans="1:9" x14ac:dyDescent="0.2">
      <c r="A15" s="2">
        <v>13</v>
      </c>
      <c r="B15" s="1" t="s">
        <v>154</v>
      </c>
      <c r="C15" s="4">
        <v>772</v>
      </c>
      <c r="D15" s="8">
        <v>1.87</v>
      </c>
      <c r="E15" s="4">
        <v>586</v>
      </c>
      <c r="F15" s="8">
        <v>2.76</v>
      </c>
      <c r="G15" s="4">
        <v>186</v>
      </c>
      <c r="H15" s="8">
        <v>0.95</v>
      </c>
      <c r="I15" s="4">
        <v>0</v>
      </c>
    </row>
    <row r="16" spans="1:9" x14ac:dyDescent="0.2">
      <c r="A16" s="2">
        <v>14</v>
      </c>
      <c r="B16" s="1" t="s">
        <v>137</v>
      </c>
      <c r="C16" s="4">
        <v>675</v>
      </c>
      <c r="D16" s="8">
        <v>1.63</v>
      </c>
      <c r="E16" s="4">
        <v>337</v>
      </c>
      <c r="F16" s="8">
        <v>1.59</v>
      </c>
      <c r="G16" s="4">
        <v>338</v>
      </c>
      <c r="H16" s="8">
        <v>1.73</v>
      </c>
      <c r="I16" s="4">
        <v>0</v>
      </c>
    </row>
    <row r="17" spans="1:9" x14ac:dyDescent="0.2">
      <c r="A17" s="2">
        <v>14</v>
      </c>
      <c r="B17" s="1" t="s">
        <v>138</v>
      </c>
      <c r="C17" s="4">
        <v>675</v>
      </c>
      <c r="D17" s="8">
        <v>1.63</v>
      </c>
      <c r="E17" s="4">
        <v>247</v>
      </c>
      <c r="F17" s="8">
        <v>1.1599999999999999</v>
      </c>
      <c r="G17" s="4">
        <v>428</v>
      </c>
      <c r="H17" s="8">
        <v>2.1800000000000002</v>
      </c>
      <c r="I17" s="4">
        <v>0</v>
      </c>
    </row>
    <row r="18" spans="1:9" x14ac:dyDescent="0.2">
      <c r="A18" s="2">
        <v>16</v>
      </c>
      <c r="B18" s="1" t="s">
        <v>146</v>
      </c>
      <c r="C18" s="4">
        <v>673</v>
      </c>
      <c r="D18" s="8">
        <v>1.63</v>
      </c>
      <c r="E18" s="4">
        <v>158</v>
      </c>
      <c r="F18" s="8">
        <v>0.74</v>
      </c>
      <c r="G18" s="4">
        <v>503</v>
      </c>
      <c r="H18" s="8">
        <v>2.57</v>
      </c>
      <c r="I18" s="4">
        <v>0</v>
      </c>
    </row>
    <row r="19" spans="1:9" x14ac:dyDescent="0.2">
      <c r="A19" s="2">
        <v>17</v>
      </c>
      <c r="B19" s="1" t="s">
        <v>142</v>
      </c>
      <c r="C19" s="4">
        <v>641</v>
      </c>
      <c r="D19" s="8">
        <v>1.55</v>
      </c>
      <c r="E19" s="4">
        <v>160</v>
      </c>
      <c r="F19" s="8">
        <v>0.75</v>
      </c>
      <c r="G19" s="4">
        <v>481</v>
      </c>
      <c r="H19" s="8">
        <v>2.46</v>
      </c>
      <c r="I19" s="4">
        <v>0</v>
      </c>
    </row>
    <row r="20" spans="1:9" x14ac:dyDescent="0.2">
      <c r="A20" s="2">
        <v>18</v>
      </c>
      <c r="B20" s="1" t="s">
        <v>136</v>
      </c>
      <c r="C20" s="4">
        <v>638</v>
      </c>
      <c r="D20" s="8">
        <v>1.54</v>
      </c>
      <c r="E20" s="4">
        <v>138</v>
      </c>
      <c r="F20" s="8">
        <v>0.65</v>
      </c>
      <c r="G20" s="4">
        <v>500</v>
      </c>
      <c r="H20" s="8">
        <v>2.5499999999999998</v>
      </c>
      <c r="I20" s="4">
        <v>0</v>
      </c>
    </row>
    <row r="21" spans="1:9" x14ac:dyDescent="0.2">
      <c r="A21" s="2">
        <v>19</v>
      </c>
      <c r="B21" s="1" t="s">
        <v>144</v>
      </c>
      <c r="C21" s="4">
        <v>560</v>
      </c>
      <c r="D21" s="8">
        <v>1.35</v>
      </c>
      <c r="E21" s="4">
        <v>56</v>
      </c>
      <c r="F21" s="8">
        <v>0.26</v>
      </c>
      <c r="G21" s="4">
        <v>498</v>
      </c>
      <c r="H21" s="8">
        <v>2.54</v>
      </c>
      <c r="I21" s="4">
        <v>5</v>
      </c>
    </row>
    <row r="22" spans="1:9" x14ac:dyDescent="0.2">
      <c r="A22" s="2">
        <v>20</v>
      </c>
      <c r="B22" s="1" t="s">
        <v>139</v>
      </c>
      <c r="C22" s="4">
        <v>559</v>
      </c>
      <c r="D22" s="8">
        <v>1.35</v>
      </c>
      <c r="E22" s="4">
        <v>239</v>
      </c>
      <c r="F22" s="8">
        <v>1.1299999999999999</v>
      </c>
      <c r="G22" s="4">
        <v>320</v>
      </c>
      <c r="H22" s="8">
        <v>1.63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145</v>
      </c>
      <c r="C25" s="4">
        <v>864</v>
      </c>
      <c r="D25" s="8">
        <v>5.21</v>
      </c>
      <c r="E25" s="4">
        <v>268</v>
      </c>
      <c r="F25" s="8">
        <v>3.83</v>
      </c>
      <c r="G25" s="4">
        <v>596</v>
      </c>
      <c r="H25" s="8">
        <v>6.3</v>
      </c>
      <c r="I25" s="4">
        <v>0</v>
      </c>
    </row>
    <row r="26" spans="1:9" x14ac:dyDescent="0.2">
      <c r="A26" s="2">
        <v>2</v>
      </c>
      <c r="B26" s="1" t="s">
        <v>151</v>
      </c>
      <c r="C26" s="4">
        <v>822</v>
      </c>
      <c r="D26" s="8">
        <v>4.95</v>
      </c>
      <c r="E26" s="4">
        <v>724</v>
      </c>
      <c r="F26" s="8">
        <v>10.34</v>
      </c>
      <c r="G26" s="4">
        <v>98</v>
      </c>
      <c r="H26" s="8">
        <v>1.04</v>
      </c>
      <c r="I26" s="4">
        <v>0</v>
      </c>
    </row>
    <row r="27" spans="1:9" x14ac:dyDescent="0.2">
      <c r="A27" s="2">
        <v>3</v>
      </c>
      <c r="B27" s="1" t="s">
        <v>149</v>
      </c>
      <c r="C27" s="4">
        <v>478</v>
      </c>
      <c r="D27" s="8">
        <v>2.88</v>
      </c>
      <c r="E27" s="4">
        <v>419</v>
      </c>
      <c r="F27" s="8">
        <v>5.99</v>
      </c>
      <c r="G27" s="4">
        <v>59</v>
      </c>
      <c r="H27" s="8">
        <v>0.62</v>
      </c>
      <c r="I27" s="4">
        <v>0</v>
      </c>
    </row>
    <row r="28" spans="1:9" x14ac:dyDescent="0.2">
      <c r="A28" s="2">
        <v>4</v>
      </c>
      <c r="B28" s="1" t="s">
        <v>147</v>
      </c>
      <c r="C28" s="4">
        <v>458</v>
      </c>
      <c r="D28" s="8">
        <v>2.76</v>
      </c>
      <c r="E28" s="4">
        <v>336</v>
      </c>
      <c r="F28" s="8">
        <v>4.8</v>
      </c>
      <c r="G28" s="4">
        <v>122</v>
      </c>
      <c r="H28" s="8">
        <v>1.29</v>
      </c>
      <c r="I28" s="4">
        <v>0</v>
      </c>
    </row>
    <row r="29" spans="1:9" x14ac:dyDescent="0.2">
      <c r="A29" s="2">
        <v>5</v>
      </c>
      <c r="B29" s="1" t="s">
        <v>150</v>
      </c>
      <c r="C29" s="4">
        <v>443</v>
      </c>
      <c r="D29" s="8">
        <v>2.67</v>
      </c>
      <c r="E29" s="4">
        <v>406</v>
      </c>
      <c r="F29" s="8">
        <v>5.8</v>
      </c>
      <c r="G29" s="4">
        <v>37</v>
      </c>
      <c r="H29" s="8">
        <v>0.39</v>
      </c>
      <c r="I29" s="4">
        <v>0</v>
      </c>
    </row>
    <row r="30" spans="1:9" x14ac:dyDescent="0.2">
      <c r="A30" s="2">
        <v>6</v>
      </c>
      <c r="B30" s="1" t="s">
        <v>152</v>
      </c>
      <c r="C30" s="4">
        <v>387</v>
      </c>
      <c r="D30" s="8">
        <v>2.33</v>
      </c>
      <c r="E30" s="4">
        <v>289</v>
      </c>
      <c r="F30" s="8">
        <v>4.13</v>
      </c>
      <c r="G30" s="4">
        <v>97</v>
      </c>
      <c r="H30" s="8">
        <v>1.03</v>
      </c>
      <c r="I30" s="4">
        <v>1</v>
      </c>
    </row>
    <row r="31" spans="1:9" x14ac:dyDescent="0.2">
      <c r="A31" s="2">
        <v>7</v>
      </c>
      <c r="B31" s="1" t="s">
        <v>144</v>
      </c>
      <c r="C31" s="4">
        <v>384</v>
      </c>
      <c r="D31" s="8">
        <v>2.31</v>
      </c>
      <c r="E31" s="4">
        <v>28</v>
      </c>
      <c r="F31" s="8">
        <v>0.4</v>
      </c>
      <c r="G31" s="4">
        <v>351</v>
      </c>
      <c r="H31" s="8">
        <v>3.71</v>
      </c>
      <c r="I31" s="4">
        <v>5</v>
      </c>
    </row>
    <row r="32" spans="1:9" x14ac:dyDescent="0.2">
      <c r="A32" s="2">
        <v>8</v>
      </c>
      <c r="B32" s="1" t="s">
        <v>146</v>
      </c>
      <c r="C32" s="4">
        <v>359</v>
      </c>
      <c r="D32" s="8">
        <v>2.16</v>
      </c>
      <c r="E32" s="4">
        <v>62</v>
      </c>
      <c r="F32" s="8">
        <v>0.89</v>
      </c>
      <c r="G32" s="4">
        <v>294</v>
      </c>
      <c r="H32" s="8">
        <v>3.11</v>
      </c>
      <c r="I32" s="4">
        <v>0</v>
      </c>
    </row>
    <row r="33" spans="1:9" x14ac:dyDescent="0.2">
      <c r="A33" s="2">
        <v>8</v>
      </c>
      <c r="B33" s="1" t="s">
        <v>153</v>
      </c>
      <c r="C33" s="4">
        <v>359</v>
      </c>
      <c r="D33" s="8">
        <v>2.16</v>
      </c>
      <c r="E33" s="4">
        <v>312</v>
      </c>
      <c r="F33" s="8">
        <v>4.46</v>
      </c>
      <c r="G33" s="4">
        <v>47</v>
      </c>
      <c r="H33" s="8">
        <v>0.5</v>
      </c>
      <c r="I33" s="4">
        <v>0</v>
      </c>
    </row>
    <row r="34" spans="1:9" x14ac:dyDescent="0.2">
      <c r="A34" s="2">
        <v>10</v>
      </c>
      <c r="B34" s="1" t="s">
        <v>148</v>
      </c>
      <c r="C34" s="4">
        <v>353</v>
      </c>
      <c r="D34" s="8">
        <v>2.13</v>
      </c>
      <c r="E34" s="4">
        <v>297</v>
      </c>
      <c r="F34" s="8">
        <v>4.24</v>
      </c>
      <c r="G34" s="4">
        <v>56</v>
      </c>
      <c r="H34" s="8">
        <v>0.59</v>
      </c>
      <c r="I34" s="4">
        <v>0</v>
      </c>
    </row>
    <row r="35" spans="1:9" x14ac:dyDescent="0.2">
      <c r="A35" s="2">
        <v>11</v>
      </c>
      <c r="B35" s="1" t="s">
        <v>155</v>
      </c>
      <c r="C35" s="4">
        <v>351</v>
      </c>
      <c r="D35" s="8">
        <v>2.12</v>
      </c>
      <c r="E35" s="4">
        <v>61</v>
      </c>
      <c r="F35" s="8">
        <v>0.87</v>
      </c>
      <c r="G35" s="4">
        <v>289</v>
      </c>
      <c r="H35" s="8">
        <v>3.06</v>
      </c>
      <c r="I35" s="4">
        <v>1</v>
      </c>
    </row>
    <row r="36" spans="1:9" x14ac:dyDescent="0.2">
      <c r="A36" s="2">
        <v>12</v>
      </c>
      <c r="B36" s="1" t="s">
        <v>143</v>
      </c>
      <c r="C36" s="4">
        <v>332</v>
      </c>
      <c r="D36" s="8">
        <v>2</v>
      </c>
      <c r="E36" s="4">
        <v>199</v>
      </c>
      <c r="F36" s="8">
        <v>2.84</v>
      </c>
      <c r="G36" s="4">
        <v>133</v>
      </c>
      <c r="H36" s="8">
        <v>1.41</v>
      </c>
      <c r="I36" s="4">
        <v>0</v>
      </c>
    </row>
    <row r="37" spans="1:9" x14ac:dyDescent="0.2">
      <c r="A37" s="2">
        <v>13</v>
      </c>
      <c r="B37" s="1" t="s">
        <v>135</v>
      </c>
      <c r="C37" s="4">
        <v>326</v>
      </c>
      <c r="D37" s="8">
        <v>1.96</v>
      </c>
      <c r="E37" s="4">
        <v>29</v>
      </c>
      <c r="F37" s="8">
        <v>0.41</v>
      </c>
      <c r="G37" s="4">
        <v>297</v>
      </c>
      <c r="H37" s="8">
        <v>3.14</v>
      </c>
      <c r="I37" s="4">
        <v>0</v>
      </c>
    </row>
    <row r="38" spans="1:9" x14ac:dyDescent="0.2">
      <c r="A38" s="2">
        <v>14</v>
      </c>
      <c r="B38" s="1" t="s">
        <v>141</v>
      </c>
      <c r="C38" s="4">
        <v>317</v>
      </c>
      <c r="D38" s="8">
        <v>1.91</v>
      </c>
      <c r="E38" s="4">
        <v>173</v>
      </c>
      <c r="F38" s="8">
        <v>2.4700000000000002</v>
      </c>
      <c r="G38" s="4">
        <v>144</v>
      </c>
      <c r="H38" s="8">
        <v>1.52</v>
      </c>
      <c r="I38" s="4">
        <v>0</v>
      </c>
    </row>
    <row r="39" spans="1:9" x14ac:dyDescent="0.2">
      <c r="A39" s="2">
        <v>15</v>
      </c>
      <c r="B39" s="1" t="s">
        <v>142</v>
      </c>
      <c r="C39" s="4">
        <v>276</v>
      </c>
      <c r="D39" s="8">
        <v>1.66</v>
      </c>
      <c r="E39" s="4">
        <v>64</v>
      </c>
      <c r="F39" s="8">
        <v>0.91</v>
      </c>
      <c r="G39" s="4">
        <v>212</v>
      </c>
      <c r="H39" s="8">
        <v>2.2400000000000002</v>
      </c>
      <c r="I39" s="4">
        <v>0</v>
      </c>
    </row>
    <row r="40" spans="1:9" x14ac:dyDescent="0.2">
      <c r="A40" s="2">
        <v>16</v>
      </c>
      <c r="B40" s="1" t="s">
        <v>140</v>
      </c>
      <c r="C40" s="4">
        <v>275</v>
      </c>
      <c r="D40" s="8">
        <v>1.66</v>
      </c>
      <c r="E40" s="4">
        <v>150</v>
      </c>
      <c r="F40" s="8">
        <v>2.14</v>
      </c>
      <c r="G40" s="4">
        <v>124</v>
      </c>
      <c r="H40" s="8">
        <v>1.31</v>
      </c>
      <c r="I40" s="4">
        <v>1</v>
      </c>
    </row>
    <row r="41" spans="1:9" x14ac:dyDescent="0.2">
      <c r="A41" s="2">
        <v>17</v>
      </c>
      <c r="B41" s="1" t="s">
        <v>139</v>
      </c>
      <c r="C41" s="4">
        <v>272</v>
      </c>
      <c r="D41" s="8">
        <v>1.64</v>
      </c>
      <c r="E41" s="4">
        <v>99</v>
      </c>
      <c r="F41" s="8">
        <v>1.41</v>
      </c>
      <c r="G41" s="4">
        <v>173</v>
      </c>
      <c r="H41" s="8">
        <v>1.83</v>
      </c>
      <c r="I41" s="4">
        <v>0</v>
      </c>
    </row>
    <row r="42" spans="1:9" x14ac:dyDescent="0.2">
      <c r="A42" s="2">
        <v>18</v>
      </c>
      <c r="B42" s="1" t="s">
        <v>136</v>
      </c>
      <c r="C42" s="4">
        <v>252</v>
      </c>
      <c r="D42" s="8">
        <v>1.52</v>
      </c>
      <c r="E42" s="4">
        <v>25</v>
      </c>
      <c r="F42" s="8">
        <v>0.36</v>
      </c>
      <c r="G42" s="4">
        <v>227</v>
      </c>
      <c r="H42" s="8">
        <v>2.4</v>
      </c>
      <c r="I42" s="4">
        <v>0</v>
      </c>
    </row>
    <row r="43" spans="1:9" x14ac:dyDescent="0.2">
      <c r="A43" s="2">
        <v>19</v>
      </c>
      <c r="B43" s="1" t="s">
        <v>138</v>
      </c>
      <c r="C43" s="4">
        <v>249</v>
      </c>
      <c r="D43" s="8">
        <v>1.5</v>
      </c>
      <c r="E43" s="4">
        <v>51</v>
      </c>
      <c r="F43" s="8">
        <v>0.73</v>
      </c>
      <c r="G43" s="4">
        <v>198</v>
      </c>
      <c r="H43" s="8">
        <v>2.09</v>
      </c>
      <c r="I43" s="4">
        <v>0</v>
      </c>
    </row>
    <row r="44" spans="1:9" x14ac:dyDescent="0.2">
      <c r="A44" s="2">
        <v>20</v>
      </c>
      <c r="B44" s="1" t="s">
        <v>154</v>
      </c>
      <c r="C44" s="4">
        <v>219</v>
      </c>
      <c r="D44" s="8">
        <v>1.32</v>
      </c>
      <c r="E44" s="4">
        <v>140</v>
      </c>
      <c r="F44" s="8">
        <v>2</v>
      </c>
      <c r="G44" s="4">
        <v>79</v>
      </c>
      <c r="H44" s="8">
        <v>0.84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149</v>
      </c>
      <c r="C47" s="4">
        <v>413</v>
      </c>
      <c r="D47" s="8">
        <v>6.54</v>
      </c>
      <c r="E47" s="4">
        <v>360</v>
      </c>
      <c r="F47" s="8">
        <v>13.04</v>
      </c>
      <c r="G47" s="4">
        <v>53</v>
      </c>
      <c r="H47" s="8">
        <v>1.5</v>
      </c>
      <c r="I47" s="4">
        <v>0</v>
      </c>
    </row>
    <row r="48" spans="1:9" x14ac:dyDescent="0.2">
      <c r="A48" s="2">
        <v>2</v>
      </c>
      <c r="B48" s="1" t="s">
        <v>145</v>
      </c>
      <c r="C48" s="4">
        <v>358</v>
      </c>
      <c r="D48" s="8">
        <v>5.67</v>
      </c>
      <c r="E48" s="4">
        <v>111</v>
      </c>
      <c r="F48" s="8">
        <v>4.0199999999999996</v>
      </c>
      <c r="G48" s="4">
        <v>247</v>
      </c>
      <c r="H48" s="8">
        <v>7.01</v>
      </c>
      <c r="I48" s="4">
        <v>0</v>
      </c>
    </row>
    <row r="49" spans="1:9" x14ac:dyDescent="0.2">
      <c r="A49" s="2">
        <v>3</v>
      </c>
      <c r="B49" s="1" t="s">
        <v>151</v>
      </c>
      <c r="C49" s="4">
        <v>306</v>
      </c>
      <c r="D49" s="8">
        <v>4.84</v>
      </c>
      <c r="E49" s="4">
        <v>258</v>
      </c>
      <c r="F49" s="8">
        <v>9.35</v>
      </c>
      <c r="G49" s="4">
        <v>48</v>
      </c>
      <c r="H49" s="8">
        <v>1.36</v>
      </c>
      <c r="I49" s="4">
        <v>0</v>
      </c>
    </row>
    <row r="50" spans="1:9" x14ac:dyDescent="0.2">
      <c r="A50" s="2">
        <v>4</v>
      </c>
      <c r="B50" s="1" t="s">
        <v>147</v>
      </c>
      <c r="C50" s="4">
        <v>271</v>
      </c>
      <c r="D50" s="8">
        <v>4.29</v>
      </c>
      <c r="E50" s="4">
        <v>194</v>
      </c>
      <c r="F50" s="8">
        <v>7.03</v>
      </c>
      <c r="G50" s="4">
        <v>77</v>
      </c>
      <c r="H50" s="8">
        <v>2.1800000000000002</v>
      </c>
      <c r="I50" s="4">
        <v>0</v>
      </c>
    </row>
    <row r="51" spans="1:9" x14ac:dyDescent="0.2">
      <c r="A51" s="2">
        <v>5</v>
      </c>
      <c r="B51" s="1" t="s">
        <v>148</v>
      </c>
      <c r="C51" s="4">
        <v>227</v>
      </c>
      <c r="D51" s="8">
        <v>3.59</v>
      </c>
      <c r="E51" s="4">
        <v>184</v>
      </c>
      <c r="F51" s="8">
        <v>6.67</v>
      </c>
      <c r="G51" s="4">
        <v>43</v>
      </c>
      <c r="H51" s="8">
        <v>1.22</v>
      </c>
      <c r="I51" s="4">
        <v>0</v>
      </c>
    </row>
    <row r="52" spans="1:9" x14ac:dyDescent="0.2">
      <c r="A52" s="2">
        <v>6</v>
      </c>
      <c r="B52" s="1" t="s">
        <v>144</v>
      </c>
      <c r="C52" s="4">
        <v>182</v>
      </c>
      <c r="D52" s="8">
        <v>2.88</v>
      </c>
      <c r="E52" s="4">
        <v>13</v>
      </c>
      <c r="F52" s="8">
        <v>0.47</v>
      </c>
      <c r="G52" s="4">
        <v>168</v>
      </c>
      <c r="H52" s="8">
        <v>4.76</v>
      </c>
      <c r="I52" s="4">
        <v>1</v>
      </c>
    </row>
    <row r="53" spans="1:9" x14ac:dyDescent="0.2">
      <c r="A53" s="2">
        <v>7</v>
      </c>
      <c r="B53" s="1" t="s">
        <v>155</v>
      </c>
      <c r="C53" s="4">
        <v>162</v>
      </c>
      <c r="D53" s="8">
        <v>2.56</v>
      </c>
      <c r="E53" s="4">
        <v>18</v>
      </c>
      <c r="F53" s="8">
        <v>0.65</v>
      </c>
      <c r="G53" s="4">
        <v>143</v>
      </c>
      <c r="H53" s="8">
        <v>4.0599999999999996</v>
      </c>
      <c r="I53" s="4">
        <v>1</v>
      </c>
    </row>
    <row r="54" spans="1:9" x14ac:dyDescent="0.2">
      <c r="A54" s="2">
        <v>8</v>
      </c>
      <c r="B54" s="1" t="s">
        <v>139</v>
      </c>
      <c r="C54" s="4">
        <v>160</v>
      </c>
      <c r="D54" s="8">
        <v>2.5299999999999998</v>
      </c>
      <c r="E54" s="4">
        <v>58</v>
      </c>
      <c r="F54" s="8">
        <v>2.1</v>
      </c>
      <c r="G54" s="4">
        <v>102</v>
      </c>
      <c r="H54" s="8">
        <v>2.89</v>
      </c>
      <c r="I54" s="4">
        <v>0</v>
      </c>
    </row>
    <row r="55" spans="1:9" x14ac:dyDescent="0.2">
      <c r="A55" s="2">
        <v>8</v>
      </c>
      <c r="B55" s="1" t="s">
        <v>143</v>
      </c>
      <c r="C55" s="4">
        <v>160</v>
      </c>
      <c r="D55" s="8">
        <v>2.5299999999999998</v>
      </c>
      <c r="E55" s="4">
        <v>107</v>
      </c>
      <c r="F55" s="8">
        <v>3.88</v>
      </c>
      <c r="G55" s="4">
        <v>53</v>
      </c>
      <c r="H55" s="8">
        <v>1.5</v>
      </c>
      <c r="I55" s="4">
        <v>0</v>
      </c>
    </row>
    <row r="56" spans="1:9" x14ac:dyDescent="0.2">
      <c r="A56" s="2">
        <v>10</v>
      </c>
      <c r="B56" s="1" t="s">
        <v>152</v>
      </c>
      <c r="C56" s="4">
        <v>141</v>
      </c>
      <c r="D56" s="8">
        <v>2.23</v>
      </c>
      <c r="E56" s="4">
        <v>104</v>
      </c>
      <c r="F56" s="8">
        <v>3.77</v>
      </c>
      <c r="G56" s="4">
        <v>37</v>
      </c>
      <c r="H56" s="8">
        <v>1.05</v>
      </c>
      <c r="I56" s="4">
        <v>0</v>
      </c>
    </row>
    <row r="57" spans="1:9" x14ac:dyDescent="0.2">
      <c r="A57" s="2">
        <v>11</v>
      </c>
      <c r="B57" s="1" t="s">
        <v>146</v>
      </c>
      <c r="C57" s="4">
        <v>138</v>
      </c>
      <c r="D57" s="8">
        <v>2.1800000000000002</v>
      </c>
      <c r="E57" s="4">
        <v>16</v>
      </c>
      <c r="F57" s="8">
        <v>0.57999999999999996</v>
      </c>
      <c r="G57" s="4">
        <v>121</v>
      </c>
      <c r="H57" s="8">
        <v>3.43</v>
      </c>
      <c r="I57" s="4">
        <v>0</v>
      </c>
    </row>
    <row r="58" spans="1:9" x14ac:dyDescent="0.2">
      <c r="A58" s="2">
        <v>12</v>
      </c>
      <c r="B58" s="1" t="s">
        <v>150</v>
      </c>
      <c r="C58" s="4">
        <v>121</v>
      </c>
      <c r="D58" s="8">
        <v>1.92</v>
      </c>
      <c r="E58" s="4">
        <v>114</v>
      </c>
      <c r="F58" s="8">
        <v>4.13</v>
      </c>
      <c r="G58" s="4">
        <v>7</v>
      </c>
      <c r="H58" s="8">
        <v>0.2</v>
      </c>
      <c r="I58" s="4">
        <v>0</v>
      </c>
    </row>
    <row r="59" spans="1:9" x14ac:dyDescent="0.2">
      <c r="A59" s="2">
        <v>13</v>
      </c>
      <c r="B59" s="1" t="s">
        <v>142</v>
      </c>
      <c r="C59" s="4">
        <v>120</v>
      </c>
      <c r="D59" s="8">
        <v>1.9</v>
      </c>
      <c r="E59" s="4">
        <v>24</v>
      </c>
      <c r="F59" s="8">
        <v>0.87</v>
      </c>
      <c r="G59" s="4">
        <v>96</v>
      </c>
      <c r="H59" s="8">
        <v>2.72</v>
      </c>
      <c r="I59" s="4">
        <v>0</v>
      </c>
    </row>
    <row r="60" spans="1:9" x14ac:dyDescent="0.2">
      <c r="A60" s="2">
        <v>14</v>
      </c>
      <c r="B60" s="1" t="s">
        <v>153</v>
      </c>
      <c r="C60" s="4">
        <v>119</v>
      </c>
      <c r="D60" s="8">
        <v>1.88</v>
      </c>
      <c r="E60" s="4">
        <v>103</v>
      </c>
      <c r="F60" s="8">
        <v>3.73</v>
      </c>
      <c r="G60" s="4">
        <v>16</v>
      </c>
      <c r="H60" s="8">
        <v>0.45</v>
      </c>
      <c r="I60" s="4">
        <v>0</v>
      </c>
    </row>
    <row r="61" spans="1:9" x14ac:dyDescent="0.2">
      <c r="A61" s="2">
        <v>15</v>
      </c>
      <c r="B61" s="1" t="s">
        <v>140</v>
      </c>
      <c r="C61" s="4">
        <v>103</v>
      </c>
      <c r="D61" s="8">
        <v>1.63</v>
      </c>
      <c r="E61" s="4">
        <v>52</v>
      </c>
      <c r="F61" s="8">
        <v>1.88</v>
      </c>
      <c r="G61" s="4">
        <v>51</v>
      </c>
      <c r="H61" s="8">
        <v>1.45</v>
      </c>
      <c r="I61" s="4">
        <v>0</v>
      </c>
    </row>
    <row r="62" spans="1:9" x14ac:dyDescent="0.2">
      <c r="A62" s="2">
        <v>16</v>
      </c>
      <c r="B62" s="1" t="s">
        <v>157</v>
      </c>
      <c r="C62" s="4">
        <v>101</v>
      </c>
      <c r="D62" s="8">
        <v>1.6</v>
      </c>
      <c r="E62" s="4">
        <v>4</v>
      </c>
      <c r="F62" s="8">
        <v>0.14000000000000001</v>
      </c>
      <c r="G62" s="4">
        <v>97</v>
      </c>
      <c r="H62" s="8">
        <v>2.75</v>
      </c>
      <c r="I62" s="4">
        <v>0</v>
      </c>
    </row>
    <row r="63" spans="1:9" x14ac:dyDescent="0.2">
      <c r="A63" s="2">
        <v>17</v>
      </c>
      <c r="B63" s="1" t="s">
        <v>156</v>
      </c>
      <c r="C63" s="4">
        <v>76</v>
      </c>
      <c r="D63" s="8">
        <v>1.2</v>
      </c>
      <c r="E63" s="4">
        <v>37</v>
      </c>
      <c r="F63" s="8">
        <v>1.34</v>
      </c>
      <c r="G63" s="4">
        <v>39</v>
      </c>
      <c r="H63" s="8">
        <v>1.1100000000000001</v>
      </c>
      <c r="I63" s="4">
        <v>0</v>
      </c>
    </row>
    <row r="64" spans="1:9" x14ac:dyDescent="0.2">
      <c r="A64" s="2">
        <v>18</v>
      </c>
      <c r="B64" s="1" t="s">
        <v>158</v>
      </c>
      <c r="C64" s="4">
        <v>73</v>
      </c>
      <c r="D64" s="8">
        <v>1.1599999999999999</v>
      </c>
      <c r="E64" s="4">
        <v>71</v>
      </c>
      <c r="F64" s="8">
        <v>2.57</v>
      </c>
      <c r="G64" s="4">
        <v>2</v>
      </c>
      <c r="H64" s="8">
        <v>0.06</v>
      </c>
      <c r="I64" s="4">
        <v>0</v>
      </c>
    </row>
    <row r="65" spans="1:9" x14ac:dyDescent="0.2">
      <c r="A65" s="2">
        <v>18</v>
      </c>
      <c r="B65" s="1" t="s">
        <v>159</v>
      </c>
      <c r="C65" s="4">
        <v>73</v>
      </c>
      <c r="D65" s="8">
        <v>1.1599999999999999</v>
      </c>
      <c r="E65" s="4">
        <v>61</v>
      </c>
      <c r="F65" s="8">
        <v>2.21</v>
      </c>
      <c r="G65" s="4">
        <v>12</v>
      </c>
      <c r="H65" s="8">
        <v>0.34</v>
      </c>
      <c r="I65" s="4">
        <v>0</v>
      </c>
    </row>
    <row r="66" spans="1:9" x14ac:dyDescent="0.2">
      <c r="A66" s="2">
        <v>20</v>
      </c>
      <c r="B66" s="1" t="s">
        <v>160</v>
      </c>
      <c r="C66" s="4">
        <v>72</v>
      </c>
      <c r="D66" s="8">
        <v>1.1399999999999999</v>
      </c>
      <c r="E66" s="4">
        <v>53</v>
      </c>
      <c r="F66" s="8">
        <v>1.92</v>
      </c>
      <c r="G66" s="4">
        <v>19</v>
      </c>
      <c r="H66" s="8">
        <v>0.54</v>
      </c>
      <c r="I66" s="4">
        <v>0</v>
      </c>
    </row>
    <row r="67" spans="1:9" x14ac:dyDescent="0.2">
      <c r="A67" s="2">
        <v>20</v>
      </c>
      <c r="B67" s="1" t="s">
        <v>161</v>
      </c>
      <c r="C67" s="4">
        <v>72</v>
      </c>
      <c r="D67" s="8">
        <v>1.1399999999999999</v>
      </c>
      <c r="E67" s="4">
        <v>47</v>
      </c>
      <c r="F67" s="8">
        <v>1.7</v>
      </c>
      <c r="G67" s="4">
        <v>25</v>
      </c>
      <c r="H67" s="8">
        <v>0.71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151</v>
      </c>
      <c r="C70" s="4">
        <v>194</v>
      </c>
      <c r="D70" s="8">
        <v>4.96</v>
      </c>
      <c r="E70" s="4">
        <v>175</v>
      </c>
      <c r="F70" s="8">
        <v>10.99</v>
      </c>
      <c r="G70" s="4">
        <v>19</v>
      </c>
      <c r="H70" s="8">
        <v>0.83</v>
      </c>
      <c r="I70" s="4">
        <v>0</v>
      </c>
    </row>
    <row r="71" spans="1:9" x14ac:dyDescent="0.2">
      <c r="A71" s="2">
        <v>2</v>
      </c>
      <c r="B71" s="1" t="s">
        <v>145</v>
      </c>
      <c r="C71" s="4">
        <v>184</v>
      </c>
      <c r="D71" s="8">
        <v>4.71</v>
      </c>
      <c r="E71" s="4">
        <v>36</v>
      </c>
      <c r="F71" s="8">
        <v>2.2599999999999998</v>
      </c>
      <c r="G71" s="4">
        <v>148</v>
      </c>
      <c r="H71" s="8">
        <v>6.43</v>
      </c>
      <c r="I71" s="4">
        <v>0</v>
      </c>
    </row>
    <row r="72" spans="1:9" x14ac:dyDescent="0.2">
      <c r="A72" s="2">
        <v>3</v>
      </c>
      <c r="B72" s="1" t="s">
        <v>146</v>
      </c>
      <c r="C72" s="4">
        <v>118</v>
      </c>
      <c r="D72" s="8">
        <v>3.02</v>
      </c>
      <c r="E72" s="4">
        <v>19</v>
      </c>
      <c r="F72" s="8">
        <v>1.19</v>
      </c>
      <c r="G72" s="4">
        <v>99</v>
      </c>
      <c r="H72" s="8">
        <v>4.3</v>
      </c>
      <c r="I72" s="4">
        <v>0</v>
      </c>
    </row>
    <row r="73" spans="1:9" x14ac:dyDescent="0.2">
      <c r="A73" s="2">
        <v>4</v>
      </c>
      <c r="B73" s="1" t="s">
        <v>141</v>
      </c>
      <c r="C73" s="4">
        <v>111</v>
      </c>
      <c r="D73" s="8">
        <v>2.84</v>
      </c>
      <c r="E73" s="4">
        <v>63</v>
      </c>
      <c r="F73" s="8">
        <v>3.96</v>
      </c>
      <c r="G73" s="4">
        <v>48</v>
      </c>
      <c r="H73" s="8">
        <v>2.09</v>
      </c>
      <c r="I73" s="4">
        <v>0</v>
      </c>
    </row>
    <row r="74" spans="1:9" x14ac:dyDescent="0.2">
      <c r="A74" s="2">
        <v>5</v>
      </c>
      <c r="B74" s="1" t="s">
        <v>150</v>
      </c>
      <c r="C74" s="4">
        <v>109</v>
      </c>
      <c r="D74" s="8">
        <v>2.79</v>
      </c>
      <c r="E74" s="4">
        <v>94</v>
      </c>
      <c r="F74" s="8">
        <v>5.9</v>
      </c>
      <c r="G74" s="4">
        <v>15</v>
      </c>
      <c r="H74" s="8">
        <v>0.65</v>
      </c>
      <c r="I74" s="4">
        <v>0</v>
      </c>
    </row>
    <row r="75" spans="1:9" x14ac:dyDescent="0.2">
      <c r="A75" s="2">
        <v>6</v>
      </c>
      <c r="B75" s="1" t="s">
        <v>153</v>
      </c>
      <c r="C75" s="4">
        <v>99</v>
      </c>
      <c r="D75" s="8">
        <v>2.5299999999999998</v>
      </c>
      <c r="E75" s="4">
        <v>85</v>
      </c>
      <c r="F75" s="8">
        <v>5.34</v>
      </c>
      <c r="G75" s="4">
        <v>14</v>
      </c>
      <c r="H75" s="8">
        <v>0.61</v>
      </c>
      <c r="I75" s="4">
        <v>0</v>
      </c>
    </row>
    <row r="76" spans="1:9" x14ac:dyDescent="0.2">
      <c r="A76" s="2">
        <v>7</v>
      </c>
      <c r="B76" s="1" t="s">
        <v>152</v>
      </c>
      <c r="C76" s="4">
        <v>95</v>
      </c>
      <c r="D76" s="8">
        <v>2.4300000000000002</v>
      </c>
      <c r="E76" s="4">
        <v>73</v>
      </c>
      <c r="F76" s="8">
        <v>4.59</v>
      </c>
      <c r="G76" s="4">
        <v>22</v>
      </c>
      <c r="H76" s="8">
        <v>0.96</v>
      </c>
      <c r="I76" s="4">
        <v>0</v>
      </c>
    </row>
    <row r="77" spans="1:9" x14ac:dyDescent="0.2">
      <c r="A77" s="2">
        <v>8</v>
      </c>
      <c r="B77" s="1" t="s">
        <v>135</v>
      </c>
      <c r="C77" s="4">
        <v>92</v>
      </c>
      <c r="D77" s="8">
        <v>2.35</v>
      </c>
      <c r="E77" s="4">
        <v>4</v>
      </c>
      <c r="F77" s="8">
        <v>0.25</v>
      </c>
      <c r="G77" s="4">
        <v>88</v>
      </c>
      <c r="H77" s="8">
        <v>3.82</v>
      </c>
      <c r="I77" s="4">
        <v>0</v>
      </c>
    </row>
    <row r="78" spans="1:9" x14ac:dyDescent="0.2">
      <c r="A78" s="2">
        <v>9</v>
      </c>
      <c r="B78" s="1" t="s">
        <v>155</v>
      </c>
      <c r="C78" s="4">
        <v>90</v>
      </c>
      <c r="D78" s="8">
        <v>2.2999999999999998</v>
      </c>
      <c r="E78" s="4">
        <v>18</v>
      </c>
      <c r="F78" s="8">
        <v>1.1299999999999999</v>
      </c>
      <c r="G78" s="4">
        <v>72</v>
      </c>
      <c r="H78" s="8">
        <v>3.13</v>
      </c>
      <c r="I78" s="4">
        <v>0</v>
      </c>
    </row>
    <row r="79" spans="1:9" x14ac:dyDescent="0.2">
      <c r="A79" s="2">
        <v>10</v>
      </c>
      <c r="B79" s="1" t="s">
        <v>136</v>
      </c>
      <c r="C79" s="4">
        <v>89</v>
      </c>
      <c r="D79" s="8">
        <v>2.2799999999999998</v>
      </c>
      <c r="E79" s="4">
        <v>7</v>
      </c>
      <c r="F79" s="8">
        <v>0.44</v>
      </c>
      <c r="G79" s="4">
        <v>82</v>
      </c>
      <c r="H79" s="8">
        <v>3.56</v>
      </c>
      <c r="I79" s="4">
        <v>0</v>
      </c>
    </row>
    <row r="80" spans="1:9" x14ac:dyDescent="0.2">
      <c r="A80" s="2">
        <v>11</v>
      </c>
      <c r="B80" s="1" t="s">
        <v>144</v>
      </c>
      <c r="C80" s="4">
        <v>80</v>
      </c>
      <c r="D80" s="8">
        <v>2.0499999999999998</v>
      </c>
      <c r="E80" s="4">
        <v>6</v>
      </c>
      <c r="F80" s="8">
        <v>0.38</v>
      </c>
      <c r="G80" s="4">
        <v>74</v>
      </c>
      <c r="H80" s="8">
        <v>3.22</v>
      </c>
      <c r="I80" s="4">
        <v>0</v>
      </c>
    </row>
    <row r="81" spans="1:9" x14ac:dyDescent="0.2">
      <c r="A81" s="2">
        <v>12</v>
      </c>
      <c r="B81" s="1" t="s">
        <v>147</v>
      </c>
      <c r="C81" s="4">
        <v>75</v>
      </c>
      <c r="D81" s="8">
        <v>1.92</v>
      </c>
      <c r="E81" s="4">
        <v>64</v>
      </c>
      <c r="F81" s="8">
        <v>4.0199999999999996</v>
      </c>
      <c r="G81" s="4">
        <v>11</v>
      </c>
      <c r="H81" s="8">
        <v>0.48</v>
      </c>
      <c r="I81" s="4">
        <v>0</v>
      </c>
    </row>
    <row r="82" spans="1:9" x14ac:dyDescent="0.2">
      <c r="A82" s="2">
        <v>13</v>
      </c>
      <c r="B82" s="1" t="s">
        <v>138</v>
      </c>
      <c r="C82" s="4">
        <v>71</v>
      </c>
      <c r="D82" s="8">
        <v>1.82</v>
      </c>
      <c r="E82" s="4">
        <v>12</v>
      </c>
      <c r="F82" s="8">
        <v>0.75</v>
      </c>
      <c r="G82" s="4">
        <v>59</v>
      </c>
      <c r="H82" s="8">
        <v>2.56</v>
      </c>
      <c r="I82" s="4">
        <v>0</v>
      </c>
    </row>
    <row r="83" spans="1:9" x14ac:dyDescent="0.2">
      <c r="A83" s="2">
        <v>14</v>
      </c>
      <c r="B83" s="1" t="s">
        <v>163</v>
      </c>
      <c r="C83" s="4">
        <v>62</v>
      </c>
      <c r="D83" s="8">
        <v>1.59</v>
      </c>
      <c r="E83" s="4">
        <v>10</v>
      </c>
      <c r="F83" s="8">
        <v>0.63</v>
      </c>
      <c r="G83" s="4">
        <v>52</v>
      </c>
      <c r="H83" s="8">
        <v>2.2599999999999998</v>
      </c>
      <c r="I83" s="4">
        <v>0</v>
      </c>
    </row>
    <row r="84" spans="1:9" x14ac:dyDescent="0.2">
      <c r="A84" s="2">
        <v>15</v>
      </c>
      <c r="B84" s="1" t="s">
        <v>137</v>
      </c>
      <c r="C84" s="4">
        <v>61</v>
      </c>
      <c r="D84" s="8">
        <v>1.56</v>
      </c>
      <c r="E84" s="4">
        <v>12</v>
      </c>
      <c r="F84" s="8">
        <v>0.75</v>
      </c>
      <c r="G84" s="4">
        <v>49</v>
      </c>
      <c r="H84" s="8">
        <v>2.13</v>
      </c>
      <c r="I84" s="4">
        <v>0</v>
      </c>
    </row>
    <row r="85" spans="1:9" x14ac:dyDescent="0.2">
      <c r="A85" s="2">
        <v>16</v>
      </c>
      <c r="B85" s="1" t="s">
        <v>154</v>
      </c>
      <c r="C85" s="4">
        <v>59</v>
      </c>
      <c r="D85" s="8">
        <v>1.51</v>
      </c>
      <c r="E85" s="4">
        <v>40</v>
      </c>
      <c r="F85" s="8">
        <v>2.5099999999999998</v>
      </c>
      <c r="G85" s="4">
        <v>19</v>
      </c>
      <c r="H85" s="8">
        <v>0.83</v>
      </c>
      <c r="I85" s="4">
        <v>0</v>
      </c>
    </row>
    <row r="86" spans="1:9" x14ac:dyDescent="0.2">
      <c r="A86" s="2">
        <v>17</v>
      </c>
      <c r="B86" s="1" t="s">
        <v>157</v>
      </c>
      <c r="C86" s="4">
        <v>58</v>
      </c>
      <c r="D86" s="8">
        <v>1.48</v>
      </c>
      <c r="E86" s="4">
        <v>1</v>
      </c>
      <c r="F86" s="8">
        <v>0.06</v>
      </c>
      <c r="G86" s="4">
        <v>56</v>
      </c>
      <c r="H86" s="8">
        <v>2.4300000000000002</v>
      </c>
      <c r="I86" s="4">
        <v>0</v>
      </c>
    </row>
    <row r="87" spans="1:9" x14ac:dyDescent="0.2">
      <c r="A87" s="2">
        <v>18</v>
      </c>
      <c r="B87" s="1" t="s">
        <v>160</v>
      </c>
      <c r="C87" s="4">
        <v>56</v>
      </c>
      <c r="D87" s="8">
        <v>1.43</v>
      </c>
      <c r="E87" s="4">
        <v>32</v>
      </c>
      <c r="F87" s="8">
        <v>2.0099999999999998</v>
      </c>
      <c r="G87" s="4">
        <v>24</v>
      </c>
      <c r="H87" s="8">
        <v>1.04</v>
      </c>
      <c r="I87" s="4">
        <v>0</v>
      </c>
    </row>
    <row r="88" spans="1:9" x14ac:dyDescent="0.2">
      <c r="A88" s="2">
        <v>19</v>
      </c>
      <c r="B88" s="1" t="s">
        <v>162</v>
      </c>
      <c r="C88" s="4">
        <v>55</v>
      </c>
      <c r="D88" s="8">
        <v>1.41</v>
      </c>
      <c r="E88" s="4">
        <v>8</v>
      </c>
      <c r="F88" s="8">
        <v>0.5</v>
      </c>
      <c r="G88" s="4">
        <v>47</v>
      </c>
      <c r="H88" s="8">
        <v>2.04</v>
      </c>
      <c r="I88" s="4">
        <v>0</v>
      </c>
    </row>
    <row r="89" spans="1:9" x14ac:dyDescent="0.2">
      <c r="A89" s="2">
        <v>19</v>
      </c>
      <c r="B89" s="1" t="s">
        <v>158</v>
      </c>
      <c r="C89" s="4">
        <v>55</v>
      </c>
      <c r="D89" s="8">
        <v>1.41</v>
      </c>
      <c r="E89" s="4">
        <v>53</v>
      </c>
      <c r="F89" s="8">
        <v>3.33</v>
      </c>
      <c r="G89" s="4">
        <v>2</v>
      </c>
      <c r="H89" s="8">
        <v>0.09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151</v>
      </c>
      <c r="C92" s="4">
        <v>73</v>
      </c>
      <c r="D92" s="8">
        <v>4.74</v>
      </c>
      <c r="E92" s="4">
        <v>66</v>
      </c>
      <c r="F92" s="8">
        <v>10.38</v>
      </c>
      <c r="G92" s="4">
        <v>7</v>
      </c>
      <c r="H92" s="8">
        <v>0.8</v>
      </c>
      <c r="I92" s="4">
        <v>0</v>
      </c>
    </row>
    <row r="93" spans="1:9" x14ac:dyDescent="0.2">
      <c r="A93" s="2">
        <v>2</v>
      </c>
      <c r="B93" s="1" t="s">
        <v>145</v>
      </c>
      <c r="C93" s="4">
        <v>70</v>
      </c>
      <c r="D93" s="8">
        <v>4.54</v>
      </c>
      <c r="E93" s="4">
        <v>27</v>
      </c>
      <c r="F93" s="8">
        <v>4.25</v>
      </c>
      <c r="G93" s="4">
        <v>43</v>
      </c>
      <c r="H93" s="8">
        <v>4.91</v>
      </c>
      <c r="I93" s="4">
        <v>0</v>
      </c>
    </row>
    <row r="94" spans="1:9" x14ac:dyDescent="0.2">
      <c r="A94" s="2">
        <v>3</v>
      </c>
      <c r="B94" s="1" t="s">
        <v>150</v>
      </c>
      <c r="C94" s="4">
        <v>61</v>
      </c>
      <c r="D94" s="8">
        <v>3.96</v>
      </c>
      <c r="E94" s="4">
        <v>58</v>
      </c>
      <c r="F94" s="8">
        <v>9.1199999999999992</v>
      </c>
      <c r="G94" s="4">
        <v>3</v>
      </c>
      <c r="H94" s="8">
        <v>0.34</v>
      </c>
      <c r="I94" s="4">
        <v>0</v>
      </c>
    </row>
    <row r="95" spans="1:9" x14ac:dyDescent="0.2">
      <c r="A95" s="2">
        <v>4</v>
      </c>
      <c r="B95" s="1" t="s">
        <v>135</v>
      </c>
      <c r="C95" s="4">
        <v>46</v>
      </c>
      <c r="D95" s="8">
        <v>2.99</v>
      </c>
      <c r="E95" s="4">
        <v>6</v>
      </c>
      <c r="F95" s="8">
        <v>0.94</v>
      </c>
      <c r="G95" s="4">
        <v>40</v>
      </c>
      <c r="H95" s="8">
        <v>4.57</v>
      </c>
      <c r="I95" s="4">
        <v>0</v>
      </c>
    </row>
    <row r="96" spans="1:9" x14ac:dyDescent="0.2">
      <c r="A96" s="2">
        <v>4</v>
      </c>
      <c r="B96" s="1" t="s">
        <v>140</v>
      </c>
      <c r="C96" s="4">
        <v>46</v>
      </c>
      <c r="D96" s="8">
        <v>2.99</v>
      </c>
      <c r="E96" s="4">
        <v>25</v>
      </c>
      <c r="F96" s="8">
        <v>3.93</v>
      </c>
      <c r="G96" s="4">
        <v>21</v>
      </c>
      <c r="H96" s="8">
        <v>2.4</v>
      </c>
      <c r="I96" s="4">
        <v>0</v>
      </c>
    </row>
    <row r="97" spans="1:9" x14ac:dyDescent="0.2">
      <c r="A97" s="2">
        <v>6</v>
      </c>
      <c r="B97" s="1" t="s">
        <v>143</v>
      </c>
      <c r="C97" s="4">
        <v>43</v>
      </c>
      <c r="D97" s="8">
        <v>2.79</v>
      </c>
      <c r="E97" s="4">
        <v>23</v>
      </c>
      <c r="F97" s="8">
        <v>3.62</v>
      </c>
      <c r="G97" s="4">
        <v>20</v>
      </c>
      <c r="H97" s="8">
        <v>2.29</v>
      </c>
      <c r="I97" s="4">
        <v>0</v>
      </c>
    </row>
    <row r="98" spans="1:9" x14ac:dyDescent="0.2">
      <c r="A98" s="2">
        <v>7</v>
      </c>
      <c r="B98" s="1" t="s">
        <v>164</v>
      </c>
      <c r="C98" s="4">
        <v>37</v>
      </c>
      <c r="D98" s="8">
        <v>2.4</v>
      </c>
      <c r="E98" s="4">
        <v>8</v>
      </c>
      <c r="F98" s="8">
        <v>1.26</v>
      </c>
      <c r="G98" s="4">
        <v>29</v>
      </c>
      <c r="H98" s="8">
        <v>3.31</v>
      </c>
      <c r="I98" s="4">
        <v>0</v>
      </c>
    </row>
    <row r="99" spans="1:9" x14ac:dyDescent="0.2">
      <c r="A99" s="2">
        <v>8</v>
      </c>
      <c r="B99" s="1" t="s">
        <v>142</v>
      </c>
      <c r="C99" s="4">
        <v>34</v>
      </c>
      <c r="D99" s="8">
        <v>2.21</v>
      </c>
      <c r="E99" s="4">
        <v>7</v>
      </c>
      <c r="F99" s="8">
        <v>1.1000000000000001</v>
      </c>
      <c r="G99" s="4">
        <v>27</v>
      </c>
      <c r="H99" s="8">
        <v>3.09</v>
      </c>
      <c r="I99" s="4">
        <v>0</v>
      </c>
    </row>
    <row r="100" spans="1:9" x14ac:dyDescent="0.2">
      <c r="A100" s="2">
        <v>9</v>
      </c>
      <c r="B100" s="1" t="s">
        <v>147</v>
      </c>
      <c r="C100" s="4">
        <v>31</v>
      </c>
      <c r="D100" s="8">
        <v>2.0099999999999998</v>
      </c>
      <c r="E100" s="4">
        <v>18</v>
      </c>
      <c r="F100" s="8">
        <v>2.83</v>
      </c>
      <c r="G100" s="4">
        <v>13</v>
      </c>
      <c r="H100" s="8">
        <v>1.49</v>
      </c>
      <c r="I100" s="4">
        <v>0</v>
      </c>
    </row>
    <row r="101" spans="1:9" x14ac:dyDescent="0.2">
      <c r="A101" s="2">
        <v>9</v>
      </c>
      <c r="B101" s="1" t="s">
        <v>153</v>
      </c>
      <c r="C101" s="4">
        <v>31</v>
      </c>
      <c r="D101" s="8">
        <v>2.0099999999999998</v>
      </c>
      <c r="E101" s="4">
        <v>28</v>
      </c>
      <c r="F101" s="8">
        <v>4.4000000000000004</v>
      </c>
      <c r="G101" s="4">
        <v>3</v>
      </c>
      <c r="H101" s="8">
        <v>0.34</v>
      </c>
      <c r="I101" s="4">
        <v>0</v>
      </c>
    </row>
    <row r="102" spans="1:9" x14ac:dyDescent="0.2">
      <c r="A102" s="2">
        <v>11</v>
      </c>
      <c r="B102" s="1" t="s">
        <v>139</v>
      </c>
      <c r="C102" s="4">
        <v>29</v>
      </c>
      <c r="D102" s="8">
        <v>1.88</v>
      </c>
      <c r="E102" s="4">
        <v>5</v>
      </c>
      <c r="F102" s="8">
        <v>0.79</v>
      </c>
      <c r="G102" s="4">
        <v>24</v>
      </c>
      <c r="H102" s="8">
        <v>2.74</v>
      </c>
      <c r="I102" s="4">
        <v>0</v>
      </c>
    </row>
    <row r="103" spans="1:9" x14ac:dyDescent="0.2">
      <c r="A103" s="2">
        <v>11</v>
      </c>
      <c r="B103" s="1" t="s">
        <v>141</v>
      </c>
      <c r="C103" s="4">
        <v>29</v>
      </c>
      <c r="D103" s="8">
        <v>1.88</v>
      </c>
      <c r="E103" s="4">
        <v>17</v>
      </c>
      <c r="F103" s="8">
        <v>2.67</v>
      </c>
      <c r="G103" s="4">
        <v>12</v>
      </c>
      <c r="H103" s="8">
        <v>1.37</v>
      </c>
      <c r="I103" s="4">
        <v>0</v>
      </c>
    </row>
    <row r="104" spans="1:9" x14ac:dyDescent="0.2">
      <c r="A104" s="2">
        <v>13</v>
      </c>
      <c r="B104" s="1" t="s">
        <v>144</v>
      </c>
      <c r="C104" s="4">
        <v>27</v>
      </c>
      <c r="D104" s="8">
        <v>1.75</v>
      </c>
      <c r="E104" s="4">
        <v>1</v>
      </c>
      <c r="F104" s="8">
        <v>0.16</v>
      </c>
      <c r="G104" s="4">
        <v>24</v>
      </c>
      <c r="H104" s="8">
        <v>2.74</v>
      </c>
      <c r="I104" s="4">
        <v>2</v>
      </c>
    </row>
    <row r="105" spans="1:9" x14ac:dyDescent="0.2">
      <c r="A105" s="2">
        <v>13</v>
      </c>
      <c r="B105" s="1" t="s">
        <v>152</v>
      </c>
      <c r="C105" s="4">
        <v>27</v>
      </c>
      <c r="D105" s="8">
        <v>1.75</v>
      </c>
      <c r="E105" s="4">
        <v>19</v>
      </c>
      <c r="F105" s="8">
        <v>2.99</v>
      </c>
      <c r="G105" s="4">
        <v>8</v>
      </c>
      <c r="H105" s="8">
        <v>0.91</v>
      </c>
      <c r="I105" s="4">
        <v>0</v>
      </c>
    </row>
    <row r="106" spans="1:9" x14ac:dyDescent="0.2">
      <c r="A106" s="2">
        <v>15</v>
      </c>
      <c r="B106" s="1" t="s">
        <v>160</v>
      </c>
      <c r="C106" s="4">
        <v>26</v>
      </c>
      <c r="D106" s="8">
        <v>1.69</v>
      </c>
      <c r="E106" s="4">
        <v>17</v>
      </c>
      <c r="F106" s="8">
        <v>2.67</v>
      </c>
      <c r="G106" s="4">
        <v>9</v>
      </c>
      <c r="H106" s="8">
        <v>1.03</v>
      </c>
      <c r="I106" s="4">
        <v>0</v>
      </c>
    </row>
    <row r="107" spans="1:9" x14ac:dyDescent="0.2">
      <c r="A107" s="2">
        <v>15</v>
      </c>
      <c r="B107" s="1" t="s">
        <v>154</v>
      </c>
      <c r="C107" s="4">
        <v>26</v>
      </c>
      <c r="D107" s="8">
        <v>1.69</v>
      </c>
      <c r="E107" s="4">
        <v>10</v>
      </c>
      <c r="F107" s="8">
        <v>1.57</v>
      </c>
      <c r="G107" s="4">
        <v>16</v>
      </c>
      <c r="H107" s="8">
        <v>1.83</v>
      </c>
      <c r="I107" s="4">
        <v>0</v>
      </c>
    </row>
    <row r="108" spans="1:9" x14ac:dyDescent="0.2">
      <c r="A108" s="2">
        <v>17</v>
      </c>
      <c r="B108" s="1" t="s">
        <v>146</v>
      </c>
      <c r="C108" s="4">
        <v>22</v>
      </c>
      <c r="D108" s="8">
        <v>1.43</v>
      </c>
      <c r="E108" s="4">
        <v>3</v>
      </c>
      <c r="F108" s="8">
        <v>0.47</v>
      </c>
      <c r="G108" s="4">
        <v>19</v>
      </c>
      <c r="H108" s="8">
        <v>2.17</v>
      </c>
      <c r="I108" s="4">
        <v>0</v>
      </c>
    </row>
    <row r="109" spans="1:9" x14ac:dyDescent="0.2">
      <c r="A109" s="2">
        <v>18</v>
      </c>
      <c r="B109" s="1" t="s">
        <v>155</v>
      </c>
      <c r="C109" s="4">
        <v>21</v>
      </c>
      <c r="D109" s="8">
        <v>1.36</v>
      </c>
      <c r="E109" s="4">
        <v>5</v>
      </c>
      <c r="F109" s="8">
        <v>0.79</v>
      </c>
      <c r="G109" s="4">
        <v>16</v>
      </c>
      <c r="H109" s="8">
        <v>1.83</v>
      </c>
      <c r="I109" s="4">
        <v>0</v>
      </c>
    </row>
    <row r="110" spans="1:9" x14ac:dyDescent="0.2">
      <c r="A110" s="2">
        <v>19</v>
      </c>
      <c r="B110" s="1" t="s">
        <v>136</v>
      </c>
      <c r="C110" s="4">
        <v>20</v>
      </c>
      <c r="D110" s="8">
        <v>1.3</v>
      </c>
      <c r="E110" s="4">
        <v>6</v>
      </c>
      <c r="F110" s="8">
        <v>0.94</v>
      </c>
      <c r="G110" s="4">
        <v>14</v>
      </c>
      <c r="H110" s="8">
        <v>1.6</v>
      </c>
      <c r="I110" s="4">
        <v>0</v>
      </c>
    </row>
    <row r="111" spans="1:9" x14ac:dyDescent="0.2">
      <c r="A111" s="2">
        <v>20</v>
      </c>
      <c r="B111" s="1" t="s">
        <v>138</v>
      </c>
      <c r="C111" s="4">
        <v>19</v>
      </c>
      <c r="D111" s="8">
        <v>1.23</v>
      </c>
      <c r="E111" s="4">
        <v>8</v>
      </c>
      <c r="F111" s="8">
        <v>1.26</v>
      </c>
      <c r="G111" s="4">
        <v>11</v>
      </c>
      <c r="H111" s="8">
        <v>1.26</v>
      </c>
      <c r="I111" s="4">
        <v>0</v>
      </c>
    </row>
    <row r="112" spans="1:9" x14ac:dyDescent="0.2">
      <c r="A112" s="2">
        <v>20</v>
      </c>
      <c r="B112" s="1" t="s">
        <v>165</v>
      </c>
      <c r="C112" s="4">
        <v>19</v>
      </c>
      <c r="D112" s="8">
        <v>1.23</v>
      </c>
      <c r="E112" s="4">
        <v>5</v>
      </c>
      <c r="F112" s="8">
        <v>0.79</v>
      </c>
      <c r="G112" s="4">
        <v>14</v>
      </c>
      <c r="H112" s="8">
        <v>1.6</v>
      </c>
      <c r="I112" s="4">
        <v>0</v>
      </c>
    </row>
    <row r="113" spans="1:9" x14ac:dyDescent="0.2">
      <c r="A113" s="2">
        <v>20</v>
      </c>
      <c r="B113" s="1" t="s">
        <v>166</v>
      </c>
      <c r="C113" s="4">
        <v>19</v>
      </c>
      <c r="D113" s="8">
        <v>1.23</v>
      </c>
      <c r="E113" s="4">
        <v>8</v>
      </c>
      <c r="F113" s="8">
        <v>1.26</v>
      </c>
      <c r="G113" s="4">
        <v>11</v>
      </c>
      <c r="H113" s="8">
        <v>1.26</v>
      </c>
      <c r="I113" s="4">
        <v>0</v>
      </c>
    </row>
    <row r="114" spans="1:9" x14ac:dyDescent="0.2">
      <c r="A114" s="1"/>
      <c r="C114" s="4"/>
      <c r="D114" s="8"/>
      <c r="E114" s="4"/>
      <c r="F114" s="8"/>
      <c r="G114" s="4"/>
      <c r="H114" s="8"/>
      <c r="I114" s="4"/>
    </row>
    <row r="115" spans="1:9" x14ac:dyDescent="0.2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2">
      <c r="A116" s="2">
        <v>1</v>
      </c>
      <c r="B116" s="1" t="s">
        <v>151</v>
      </c>
      <c r="C116" s="4">
        <v>131</v>
      </c>
      <c r="D116" s="8">
        <v>5.34</v>
      </c>
      <c r="E116" s="4">
        <v>119</v>
      </c>
      <c r="F116" s="8">
        <v>11.96</v>
      </c>
      <c r="G116" s="4">
        <v>12</v>
      </c>
      <c r="H116" s="8">
        <v>0.84</v>
      </c>
      <c r="I116" s="4">
        <v>0</v>
      </c>
    </row>
    <row r="117" spans="1:9" x14ac:dyDescent="0.2">
      <c r="A117" s="2">
        <v>2</v>
      </c>
      <c r="B117" s="1" t="s">
        <v>145</v>
      </c>
      <c r="C117" s="4">
        <v>111</v>
      </c>
      <c r="D117" s="8">
        <v>4.53</v>
      </c>
      <c r="E117" s="4">
        <v>39</v>
      </c>
      <c r="F117" s="8">
        <v>3.92</v>
      </c>
      <c r="G117" s="4">
        <v>72</v>
      </c>
      <c r="H117" s="8">
        <v>5.03</v>
      </c>
      <c r="I117" s="4">
        <v>0</v>
      </c>
    </row>
    <row r="118" spans="1:9" x14ac:dyDescent="0.2">
      <c r="A118" s="2">
        <v>3</v>
      </c>
      <c r="B118" s="1" t="s">
        <v>141</v>
      </c>
      <c r="C118" s="4">
        <v>73</v>
      </c>
      <c r="D118" s="8">
        <v>2.98</v>
      </c>
      <c r="E118" s="4">
        <v>38</v>
      </c>
      <c r="F118" s="8">
        <v>3.82</v>
      </c>
      <c r="G118" s="4">
        <v>35</v>
      </c>
      <c r="H118" s="8">
        <v>2.4500000000000002</v>
      </c>
      <c r="I118" s="4">
        <v>0</v>
      </c>
    </row>
    <row r="119" spans="1:9" x14ac:dyDescent="0.2">
      <c r="A119" s="2">
        <v>4</v>
      </c>
      <c r="B119" s="1" t="s">
        <v>150</v>
      </c>
      <c r="C119" s="4">
        <v>68</v>
      </c>
      <c r="D119" s="8">
        <v>2.77</v>
      </c>
      <c r="E119" s="4">
        <v>63</v>
      </c>
      <c r="F119" s="8">
        <v>6.33</v>
      </c>
      <c r="G119" s="4">
        <v>5</v>
      </c>
      <c r="H119" s="8">
        <v>0.35</v>
      </c>
      <c r="I119" s="4">
        <v>0</v>
      </c>
    </row>
    <row r="120" spans="1:9" x14ac:dyDescent="0.2">
      <c r="A120" s="2">
        <v>5</v>
      </c>
      <c r="B120" s="1" t="s">
        <v>135</v>
      </c>
      <c r="C120" s="4">
        <v>67</v>
      </c>
      <c r="D120" s="8">
        <v>2.73</v>
      </c>
      <c r="E120" s="4">
        <v>8</v>
      </c>
      <c r="F120" s="8">
        <v>0.8</v>
      </c>
      <c r="G120" s="4">
        <v>59</v>
      </c>
      <c r="H120" s="8">
        <v>4.13</v>
      </c>
      <c r="I120" s="4">
        <v>0</v>
      </c>
    </row>
    <row r="121" spans="1:9" x14ac:dyDescent="0.2">
      <c r="A121" s="2">
        <v>6</v>
      </c>
      <c r="B121" s="1" t="s">
        <v>154</v>
      </c>
      <c r="C121" s="4">
        <v>65</v>
      </c>
      <c r="D121" s="8">
        <v>2.65</v>
      </c>
      <c r="E121" s="4">
        <v>44</v>
      </c>
      <c r="F121" s="8">
        <v>4.42</v>
      </c>
      <c r="G121" s="4">
        <v>21</v>
      </c>
      <c r="H121" s="8">
        <v>1.47</v>
      </c>
      <c r="I121" s="4">
        <v>0</v>
      </c>
    </row>
    <row r="122" spans="1:9" x14ac:dyDescent="0.2">
      <c r="A122" s="2">
        <v>7</v>
      </c>
      <c r="B122" s="1" t="s">
        <v>138</v>
      </c>
      <c r="C122" s="4">
        <v>62</v>
      </c>
      <c r="D122" s="8">
        <v>2.5299999999999998</v>
      </c>
      <c r="E122" s="4">
        <v>17</v>
      </c>
      <c r="F122" s="8">
        <v>1.71</v>
      </c>
      <c r="G122" s="4">
        <v>45</v>
      </c>
      <c r="H122" s="8">
        <v>3.15</v>
      </c>
      <c r="I122" s="4">
        <v>0</v>
      </c>
    </row>
    <row r="123" spans="1:9" x14ac:dyDescent="0.2">
      <c r="A123" s="2">
        <v>8</v>
      </c>
      <c r="B123" s="1" t="s">
        <v>152</v>
      </c>
      <c r="C123" s="4">
        <v>58</v>
      </c>
      <c r="D123" s="8">
        <v>2.36</v>
      </c>
      <c r="E123" s="4">
        <v>39</v>
      </c>
      <c r="F123" s="8">
        <v>3.92</v>
      </c>
      <c r="G123" s="4">
        <v>19</v>
      </c>
      <c r="H123" s="8">
        <v>1.33</v>
      </c>
      <c r="I123" s="4">
        <v>0</v>
      </c>
    </row>
    <row r="124" spans="1:9" x14ac:dyDescent="0.2">
      <c r="A124" s="2">
        <v>9</v>
      </c>
      <c r="B124" s="1" t="s">
        <v>153</v>
      </c>
      <c r="C124" s="4">
        <v>53</v>
      </c>
      <c r="D124" s="8">
        <v>2.16</v>
      </c>
      <c r="E124" s="4">
        <v>47</v>
      </c>
      <c r="F124" s="8">
        <v>4.72</v>
      </c>
      <c r="G124" s="4">
        <v>6</v>
      </c>
      <c r="H124" s="8">
        <v>0.42</v>
      </c>
      <c r="I124" s="4">
        <v>0</v>
      </c>
    </row>
    <row r="125" spans="1:9" x14ac:dyDescent="0.2">
      <c r="A125" s="2">
        <v>10</v>
      </c>
      <c r="B125" s="1" t="s">
        <v>147</v>
      </c>
      <c r="C125" s="4">
        <v>46</v>
      </c>
      <c r="D125" s="8">
        <v>1.88</v>
      </c>
      <c r="E125" s="4">
        <v>34</v>
      </c>
      <c r="F125" s="8">
        <v>3.42</v>
      </c>
      <c r="G125" s="4">
        <v>12</v>
      </c>
      <c r="H125" s="8">
        <v>0.84</v>
      </c>
      <c r="I125" s="4">
        <v>0</v>
      </c>
    </row>
    <row r="126" spans="1:9" x14ac:dyDescent="0.2">
      <c r="A126" s="2">
        <v>11</v>
      </c>
      <c r="B126" s="1" t="s">
        <v>136</v>
      </c>
      <c r="C126" s="4">
        <v>45</v>
      </c>
      <c r="D126" s="8">
        <v>1.83</v>
      </c>
      <c r="E126" s="4">
        <v>7</v>
      </c>
      <c r="F126" s="8">
        <v>0.7</v>
      </c>
      <c r="G126" s="4">
        <v>38</v>
      </c>
      <c r="H126" s="8">
        <v>2.66</v>
      </c>
      <c r="I126" s="4">
        <v>0</v>
      </c>
    </row>
    <row r="127" spans="1:9" x14ac:dyDescent="0.2">
      <c r="A127" s="2">
        <v>12</v>
      </c>
      <c r="B127" s="1" t="s">
        <v>137</v>
      </c>
      <c r="C127" s="4">
        <v>44</v>
      </c>
      <c r="D127" s="8">
        <v>1.79</v>
      </c>
      <c r="E127" s="4">
        <v>9</v>
      </c>
      <c r="F127" s="8">
        <v>0.9</v>
      </c>
      <c r="G127" s="4">
        <v>35</v>
      </c>
      <c r="H127" s="8">
        <v>2.4500000000000002</v>
      </c>
      <c r="I127" s="4">
        <v>0</v>
      </c>
    </row>
    <row r="128" spans="1:9" x14ac:dyDescent="0.2">
      <c r="A128" s="2">
        <v>12</v>
      </c>
      <c r="B128" s="1" t="s">
        <v>144</v>
      </c>
      <c r="C128" s="4">
        <v>44</v>
      </c>
      <c r="D128" s="8">
        <v>1.79</v>
      </c>
      <c r="E128" s="4">
        <v>3</v>
      </c>
      <c r="F128" s="8">
        <v>0.3</v>
      </c>
      <c r="G128" s="4">
        <v>40</v>
      </c>
      <c r="H128" s="8">
        <v>2.8</v>
      </c>
      <c r="I128" s="4">
        <v>1</v>
      </c>
    </row>
    <row r="129" spans="1:9" x14ac:dyDescent="0.2">
      <c r="A129" s="2">
        <v>12</v>
      </c>
      <c r="B129" s="1" t="s">
        <v>146</v>
      </c>
      <c r="C129" s="4">
        <v>44</v>
      </c>
      <c r="D129" s="8">
        <v>1.79</v>
      </c>
      <c r="E129" s="4">
        <v>13</v>
      </c>
      <c r="F129" s="8">
        <v>1.31</v>
      </c>
      <c r="G129" s="4">
        <v>29</v>
      </c>
      <c r="H129" s="8">
        <v>2.0299999999999998</v>
      </c>
      <c r="I129" s="4">
        <v>0</v>
      </c>
    </row>
    <row r="130" spans="1:9" x14ac:dyDescent="0.2">
      <c r="A130" s="2">
        <v>15</v>
      </c>
      <c r="B130" s="1" t="s">
        <v>163</v>
      </c>
      <c r="C130" s="4">
        <v>42</v>
      </c>
      <c r="D130" s="8">
        <v>1.71</v>
      </c>
      <c r="E130" s="4">
        <v>6</v>
      </c>
      <c r="F130" s="8">
        <v>0.6</v>
      </c>
      <c r="G130" s="4">
        <v>36</v>
      </c>
      <c r="H130" s="8">
        <v>2.52</v>
      </c>
      <c r="I130" s="4">
        <v>0</v>
      </c>
    </row>
    <row r="131" spans="1:9" x14ac:dyDescent="0.2">
      <c r="A131" s="2">
        <v>16</v>
      </c>
      <c r="B131" s="1" t="s">
        <v>143</v>
      </c>
      <c r="C131" s="4">
        <v>40</v>
      </c>
      <c r="D131" s="8">
        <v>1.63</v>
      </c>
      <c r="E131" s="4">
        <v>20</v>
      </c>
      <c r="F131" s="8">
        <v>2.0099999999999998</v>
      </c>
      <c r="G131" s="4">
        <v>20</v>
      </c>
      <c r="H131" s="8">
        <v>1.4</v>
      </c>
      <c r="I131" s="4">
        <v>0</v>
      </c>
    </row>
    <row r="132" spans="1:9" x14ac:dyDescent="0.2">
      <c r="A132" s="2">
        <v>16</v>
      </c>
      <c r="B132" s="1" t="s">
        <v>155</v>
      </c>
      <c r="C132" s="4">
        <v>40</v>
      </c>
      <c r="D132" s="8">
        <v>1.63</v>
      </c>
      <c r="E132" s="4">
        <v>11</v>
      </c>
      <c r="F132" s="8">
        <v>1.1100000000000001</v>
      </c>
      <c r="G132" s="4">
        <v>29</v>
      </c>
      <c r="H132" s="8">
        <v>2.0299999999999998</v>
      </c>
      <c r="I132" s="4">
        <v>0</v>
      </c>
    </row>
    <row r="133" spans="1:9" x14ac:dyDescent="0.2">
      <c r="A133" s="2">
        <v>18</v>
      </c>
      <c r="B133" s="1" t="s">
        <v>140</v>
      </c>
      <c r="C133" s="4">
        <v>37</v>
      </c>
      <c r="D133" s="8">
        <v>1.51</v>
      </c>
      <c r="E133" s="4">
        <v>20</v>
      </c>
      <c r="F133" s="8">
        <v>2.0099999999999998</v>
      </c>
      <c r="G133" s="4">
        <v>16</v>
      </c>
      <c r="H133" s="8">
        <v>1.1200000000000001</v>
      </c>
      <c r="I133" s="4">
        <v>1</v>
      </c>
    </row>
    <row r="134" spans="1:9" x14ac:dyDescent="0.2">
      <c r="A134" s="2">
        <v>18</v>
      </c>
      <c r="B134" s="1" t="s">
        <v>142</v>
      </c>
      <c r="C134" s="4">
        <v>37</v>
      </c>
      <c r="D134" s="8">
        <v>1.51</v>
      </c>
      <c r="E134" s="4">
        <v>9</v>
      </c>
      <c r="F134" s="8">
        <v>0.9</v>
      </c>
      <c r="G134" s="4">
        <v>28</v>
      </c>
      <c r="H134" s="8">
        <v>1.96</v>
      </c>
      <c r="I134" s="4">
        <v>0</v>
      </c>
    </row>
    <row r="135" spans="1:9" x14ac:dyDescent="0.2">
      <c r="A135" s="2">
        <v>20</v>
      </c>
      <c r="B135" s="1" t="s">
        <v>162</v>
      </c>
      <c r="C135" s="4">
        <v>33</v>
      </c>
      <c r="D135" s="8">
        <v>1.35</v>
      </c>
      <c r="E135" s="4">
        <v>11</v>
      </c>
      <c r="F135" s="8">
        <v>1.1100000000000001</v>
      </c>
      <c r="G135" s="4">
        <v>22</v>
      </c>
      <c r="H135" s="8">
        <v>1.54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145</v>
      </c>
      <c r="C138" s="4">
        <v>141</v>
      </c>
      <c r="D138" s="8">
        <v>5.93</v>
      </c>
      <c r="E138" s="4">
        <v>55</v>
      </c>
      <c r="F138" s="8">
        <v>5.41</v>
      </c>
      <c r="G138" s="4">
        <v>86</v>
      </c>
      <c r="H138" s="8">
        <v>6.5</v>
      </c>
      <c r="I138" s="4">
        <v>0</v>
      </c>
    </row>
    <row r="139" spans="1:9" x14ac:dyDescent="0.2">
      <c r="A139" s="2">
        <v>2</v>
      </c>
      <c r="B139" s="1" t="s">
        <v>151</v>
      </c>
      <c r="C139" s="4">
        <v>118</v>
      </c>
      <c r="D139" s="8">
        <v>4.96</v>
      </c>
      <c r="E139" s="4">
        <v>106</v>
      </c>
      <c r="F139" s="8">
        <v>10.42</v>
      </c>
      <c r="G139" s="4">
        <v>12</v>
      </c>
      <c r="H139" s="8">
        <v>0.91</v>
      </c>
      <c r="I139" s="4">
        <v>0</v>
      </c>
    </row>
    <row r="140" spans="1:9" x14ac:dyDescent="0.2">
      <c r="A140" s="2">
        <v>3</v>
      </c>
      <c r="B140" s="1" t="s">
        <v>150</v>
      </c>
      <c r="C140" s="4">
        <v>84</v>
      </c>
      <c r="D140" s="8">
        <v>3.53</v>
      </c>
      <c r="E140" s="4">
        <v>77</v>
      </c>
      <c r="F140" s="8">
        <v>7.57</v>
      </c>
      <c r="G140" s="4">
        <v>7</v>
      </c>
      <c r="H140" s="8">
        <v>0.53</v>
      </c>
      <c r="I140" s="4">
        <v>0</v>
      </c>
    </row>
    <row r="141" spans="1:9" x14ac:dyDescent="0.2">
      <c r="A141" s="2">
        <v>4</v>
      </c>
      <c r="B141" s="1" t="s">
        <v>141</v>
      </c>
      <c r="C141" s="4">
        <v>69</v>
      </c>
      <c r="D141" s="8">
        <v>2.9</v>
      </c>
      <c r="E141" s="4">
        <v>38</v>
      </c>
      <c r="F141" s="8">
        <v>3.74</v>
      </c>
      <c r="G141" s="4">
        <v>31</v>
      </c>
      <c r="H141" s="8">
        <v>2.34</v>
      </c>
      <c r="I141" s="4">
        <v>0</v>
      </c>
    </row>
    <row r="142" spans="1:9" x14ac:dyDescent="0.2">
      <c r="A142" s="2">
        <v>5</v>
      </c>
      <c r="B142" s="1" t="s">
        <v>135</v>
      </c>
      <c r="C142" s="4">
        <v>67</v>
      </c>
      <c r="D142" s="8">
        <v>2.82</v>
      </c>
      <c r="E142" s="4">
        <v>8</v>
      </c>
      <c r="F142" s="8">
        <v>0.79</v>
      </c>
      <c r="G142" s="4">
        <v>59</v>
      </c>
      <c r="H142" s="8">
        <v>4.46</v>
      </c>
      <c r="I142" s="4">
        <v>0</v>
      </c>
    </row>
    <row r="143" spans="1:9" x14ac:dyDescent="0.2">
      <c r="A143" s="2">
        <v>6</v>
      </c>
      <c r="B143" s="1" t="s">
        <v>152</v>
      </c>
      <c r="C143" s="4">
        <v>66</v>
      </c>
      <c r="D143" s="8">
        <v>2.78</v>
      </c>
      <c r="E143" s="4">
        <v>54</v>
      </c>
      <c r="F143" s="8">
        <v>5.31</v>
      </c>
      <c r="G143" s="4">
        <v>11</v>
      </c>
      <c r="H143" s="8">
        <v>0.83</v>
      </c>
      <c r="I143" s="4">
        <v>1</v>
      </c>
    </row>
    <row r="144" spans="1:9" x14ac:dyDescent="0.2">
      <c r="A144" s="2">
        <v>7</v>
      </c>
      <c r="B144" s="1" t="s">
        <v>153</v>
      </c>
      <c r="C144" s="4">
        <v>57</v>
      </c>
      <c r="D144" s="8">
        <v>2.4</v>
      </c>
      <c r="E144" s="4">
        <v>49</v>
      </c>
      <c r="F144" s="8">
        <v>4.82</v>
      </c>
      <c r="G144" s="4">
        <v>8</v>
      </c>
      <c r="H144" s="8">
        <v>0.6</v>
      </c>
      <c r="I144" s="4">
        <v>0</v>
      </c>
    </row>
    <row r="145" spans="1:9" x14ac:dyDescent="0.2">
      <c r="A145" s="2">
        <v>8</v>
      </c>
      <c r="B145" s="1" t="s">
        <v>138</v>
      </c>
      <c r="C145" s="4">
        <v>56</v>
      </c>
      <c r="D145" s="8">
        <v>2.36</v>
      </c>
      <c r="E145" s="4">
        <v>11</v>
      </c>
      <c r="F145" s="8">
        <v>1.08</v>
      </c>
      <c r="G145" s="4">
        <v>45</v>
      </c>
      <c r="H145" s="8">
        <v>3.4</v>
      </c>
      <c r="I145" s="4">
        <v>0</v>
      </c>
    </row>
    <row r="146" spans="1:9" x14ac:dyDescent="0.2">
      <c r="A146" s="2">
        <v>9</v>
      </c>
      <c r="B146" s="1" t="s">
        <v>144</v>
      </c>
      <c r="C146" s="4">
        <v>51</v>
      </c>
      <c r="D146" s="8">
        <v>2.15</v>
      </c>
      <c r="E146" s="4">
        <v>5</v>
      </c>
      <c r="F146" s="8">
        <v>0.49</v>
      </c>
      <c r="G146" s="4">
        <v>45</v>
      </c>
      <c r="H146" s="8">
        <v>3.4</v>
      </c>
      <c r="I146" s="4">
        <v>1</v>
      </c>
    </row>
    <row r="147" spans="1:9" x14ac:dyDescent="0.2">
      <c r="A147" s="2">
        <v>10</v>
      </c>
      <c r="B147" s="1" t="s">
        <v>154</v>
      </c>
      <c r="C147" s="4">
        <v>49</v>
      </c>
      <c r="D147" s="8">
        <v>2.06</v>
      </c>
      <c r="E147" s="4">
        <v>36</v>
      </c>
      <c r="F147" s="8">
        <v>3.54</v>
      </c>
      <c r="G147" s="4">
        <v>13</v>
      </c>
      <c r="H147" s="8">
        <v>0.98</v>
      </c>
      <c r="I147" s="4">
        <v>0</v>
      </c>
    </row>
    <row r="148" spans="1:9" x14ac:dyDescent="0.2">
      <c r="A148" s="2">
        <v>11</v>
      </c>
      <c r="B148" s="1" t="s">
        <v>137</v>
      </c>
      <c r="C148" s="4">
        <v>44</v>
      </c>
      <c r="D148" s="8">
        <v>1.85</v>
      </c>
      <c r="E148" s="4">
        <v>12</v>
      </c>
      <c r="F148" s="8">
        <v>1.18</v>
      </c>
      <c r="G148" s="4">
        <v>32</v>
      </c>
      <c r="H148" s="8">
        <v>2.42</v>
      </c>
      <c r="I148" s="4">
        <v>0</v>
      </c>
    </row>
    <row r="149" spans="1:9" x14ac:dyDescent="0.2">
      <c r="A149" s="2">
        <v>12</v>
      </c>
      <c r="B149" s="1" t="s">
        <v>136</v>
      </c>
      <c r="C149" s="4">
        <v>43</v>
      </c>
      <c r="D149" s="8">
        <v>1.81</v>
      </c>
      <c r="E149" s="4">
        <v>3</v>
      </c>
      <c r="F149" s="8">
        <v>0.28999999999999998</v>
      </c>
      <c r="G149" s="4">
        <v>40</v>
      </c>
      <c r="H149" s="8">
        <v>3.02</v>
      </c>
      <c r="I149" s="4">
        <v>0</v>
      </c>
    </row>
    <row r="150" spans="1:9" x14ac:dyDescent="0.2">
      <c r="A150" s="2">
        <v>13</v>
      </c>
      <c r="B150" s="1" t="s">
        <v>140</v>
      </c>
      <c r="C150" s="4">
        <v>40</v>
      </c>
      <c r="D150" s="8">
        <v>1.68</v>
      </c>
      <c r="E150" s="4">
        <v>22</v>
      </c>
      <c r="F150" s="8">
        <v>2.16</v>
      </c>
      <c r="G150" s="4">
        <v>18</v>
      </c>
      <c r="H150" s="8">
        <v>1.36</v>
      </c>
      <c r="I150" s="4">
        <v>0</v>
      </c>
    </row>
    <row r="151" spans="1:9" x14ac:dyDescent="0.2">
      <c r="A151" s="2">
        <v>14</v>
      </c>
      <c r="B151" s="1" t="s">
        <v>142</v>
      </c>
      <c r="C151" s="4">
        <v>38</v>
      </c>
      <c r="D151" s="8">
        <v>1.6</v>
      </c>
      <c r="E151" s="4">
        <v>9</v>
      </c>
      <c r="F151" s="8">
        <v>0.88</v>
      </c>
      <c r="G151" s="4">
        <v>29</v>
      </c>
      <c r="H151" s="8">
        <v>2.19</v>
      </c>
      <c r="I151" s="4">
        <v>0</v>
      </c>
    </row>
    <row r="152" spans="1:9" x14ac:dyDescent="0.2">
      <c r="A152" s="2">
        <v>14</v>
      </c>
      <c r="B152" s="1" t="s">
        <v>155</v>
      </c>
      <c r="C152" s="4">
        <v>38</v>
      </c>
      <c r="D152" s="8">
        <v>1.6</v>
      </c>
      <c r="E152" s="4">
        <v>9</v>
      </c>
      <c r="F152" s="8">
        <v>0.88</v>
      </c>
      <c r="G152" s="4">
        <v>29</v>
      </c>
      <c r="H152" s="8">
        <v>2.19</v>
      </c>
      <c r="I152" s="4">
        <v>0</v>
      </c>
    </row>
    <row r="153" spans="1:9" x14ac:dyDescent="0.2">
      <c r="A153" s="2">
        <v>16</v>
      </c>
      <c r="B153" s="1" t="s">
        <v>163</v>
      </c>
      <c r="C153" s="4">
        <v>37</v>
      </c>
      <c r="D153" s="8">
        <v>1.56</v>
      </c>
      <c r="E153" s="4">
        <v>11</v>
      </c>
      <c r="F153" s="8">
        <v>1.08</v>
      </c>
      <c r="G153" s="4">
        <v>26</v>
      </c>
      <c r="H153" s="8">
        <v>1.96</v>
      </c>
      <c r="I153" s="4">
        <v>0</v>
      </c>
    </row>
    <row r="154" spans="1:9" x14ac:dyDescent="0.2">
      <c r="A154" s="2">
        <v>16</v>
      </c>
      <c r="B154" s="1" t="s">
        <v>146</v>
      </c>
      <c r="C154" s="4">
        <v>37</v>
      </c>
      <c r="D154" s="8">
        <v>1.56</v>
      </c>
      <c r="E154" s="4">
        <v>11</v>
      </c>
      <c r="F154" s="8">
        <v>1.08</v>
      </c>
      <c r="G154" s="4">
        <v>26</v>
      </c>
      <c r="H154" s="8">
        <v>1.96</v>
      </c>
      <c r="I154" s="4">
        <v>0</v>
      </c>
    </row>
    <row r="155" spans="1:9" x14ac:dyDescent="0.2">
      <c r="A155" s="2">
        <v>18</v>
      </c>
      <c r="B155" s="1" t="s">
        <v>143</v>
      </c>
      <c r="C155" s="4">
        <v>35</v>
      </c>
      <c r="D155" s="8">
        <v>1.47</v>
      </c>
      <c r="E155" s="4">
        <v>16</v>
      </c>
      <c r="F155" s="8">
        <v>1.57</v>
      </c>
      <c r="G155" s="4">
        <v>19</v>
      </c>
      <c r="H155" s="8">
        <v>1.44</v>
      </c>
      <c r="I155" s="4">
        <v>0</v>
      </c>
    </row>
    <row r="156" spans="1:9" x14ac:dyDescent="0.2">
      <c r="A156" s="2">
        <v>18</v>
      </c>
      <c r="B156" s="1" t="s">
        <v>147</v>
      </c>
      <c r="C156" s="4">
        <v>35</v>
      </c>
      <c r="D156" s="8">
        <v>1.47</v>
      </c>
      <c r="E156" s="4">
        <v>26</v>
      </c>
      <c r="F156" s="8">
        <v>2.56</v>
      </c>
      <c r="G156" s="4">
        <v>9</v>
      </c>
      <c r="H156" s="8">
        <v>0.68</v>
      </c>
      <c r="I156" s="4">
        <v>0</v>
      </c>
    </row>
    <row r="157" spans="1:9" x14ac:dyDescent="0.2">
      <c r="A157" s="2">
        <v>18</v>
      </c>
      <c r="B157" s="1" t="s">
        <v>148</v>
      </c>
      <c r="C157" s="4">
        <v>35</v>
      </c>
      <c r="D157" s="8">
        <v>1.47</v>
      </c>
      <c r="E157" s="4">
        <v>33</v>
      </c>
      <c r="F157" s="8">
        <v>3.24</v>
      </c>
      <c r="G157" s="4">
        <v>2</v>
      </c>
      <c r="H157" s="8">
        <v>0.15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151</v>
      </c>
      <c r="C160" s="4">
        <v>185</v>
      </c>
      <c r="D160" s="8">
        <v>5.62</v>
      </c>
      <c r="E160" s="4">
        <v>166</v>
      </c>
      <c r="F160" s="8">
        <v>9.02</v>
      </c>
      <c r="G160" s="4">
        <v>19</v>
      </c>
      <c r="H160" s="8">
        <v>1.36</v>
      </c>
      <c r="I160" s="4">
        <v>0</v>
      </c>
    </row>
    <row r="161" spans="1:9" x14ac:dyDescent="0.2">
      <c r="A161" s="2">
        <v>2</v>
      </c>
      <c r="B161" s="1" t="s">
        <v>145</v>
      </c>
      <c r="C161" s="4">
        <v>153</v>
      </c>
      <c r="D161" s="8">
        <v>4.6399999999999997</v>
      </c>
      <c r="E161" s="4">
        <v>115</v>
      </c>
      <c r="F161" s="8">
        <v>6.25</v>
      </c>
      <c r="G161" s="4">
        <v>38</v>
      </c>
      <c r="H161" s="8">
        <v>2.72</v>
      </c>
      <c r="I161" s="4">
        <v>0</v>
      </c>
    </row>
    <row r="162" spans="1:9" x14ac:dyDescent="0.2">
      <c r="A162" s="2">
        <v>3</v>
      </c>
      <c r="B162" s="1" t="s">
        <v>149</v>
      </c>
      <c r="C162" s="4">
        <v>126</v>
      </c>
      <c r="D162" s="8">
        <v>3.83</v>
      </c>
      <c r="E162" s="4">
        <v>118</v>
      </c>
      <c r="F162" s="8">
        <v>6.41</v>
      </c>
      <c r="G162" s="4">
        <v>8</v>
      </c>
      <c r="H162" s="8">
        <v>0.56999999999999995</v>
      </c>
      <c r="I162" s="4">
        <v>0</v>
      </c>
    </row>
    <row r="163" spans="1:9" x14ac:dyDescent="0.2">
      <c r="A163" s="2">
        <v>4</v>
      </c>
      <c r="B163" s="1" t="s">
        <v>150</v>
      </c>
      <c r="C163" s="4">
        <v>104</v>
      </c>
      <c r="D163" s="8">
        <v>3.16</v>
      </c>
      <c r="E163" s="4">
        <v>102</v>
      </c>
      <c r="F163" s="8">
        <v>5.54</v>
      </c>
      <c r="G163" s="4">
        <v>2</v>
      </c>
      <c r="H163" s="8">
        <v>0.14000000000000001</v>
      </c>
      <c r="I163" s="4">
        <v>0</v>
      </c>
    </row>
    <row r="164" spans="1:9" x14ac:dyDescent="0.2">
      <c r="A164" s="2">
        <v>5</v>
      </c>
      <c r="B164" s="1" t="s">
        <v>135</v>
      </c>
      <c r="C164" s="4">
        <v>91</v>
      </c>
      <c r="D164" s="8">
        <v>2.76</v>
      </c>
      <c r="E164" s="4">
        <v>18</v>
      </c>
      <c r="F164" s="8">
        <v>0.98</v>
      </c>
      <c r="G164" s="4">
        <v>73</v>
      </c>
      <c r="H164" s="8">
        <v>5.22</v>
      </c>
      <c r="I164" s="4">
        <v>0</v>
      </c>
    </row>
    <row r="165" spans="1:9" x14ac:dyDescent="0.2">
      <c r="A165" s="2">
        <v>6</v>
      </c>
      <c r="B165" s="1" t="s">
        <v>148</v>
      </c>
      <c r="C165" s="4">
        <v>86</v>
      </c>
      <c r="D165" s="8">
        <v>2.61</v>
      </c>
      <c r="E165" s="4">
        <v>76</v>
      </c>
      <c r="F165" s="8">
        <v>4.13</v>
      </c>
      <c r="G165" s="4">
        <v>10</v>
      </c>
      <c r="H165" s="8">
        <v>0.71</v>
      </c>
      <c r="I165" s="4">
        <v>0</v>
      </c>
    </row>
    <row r="166" spans="1:9" x14ac:dyDescent="0.2">
      <c r="A166" s="2">
        <v>7</v>
      </c>
      <c r="B166" s="1" t="s">
        <v>153</v>
      </c>
      <c r="C166" s="4">
        <v>83</v>
      </c>
      <c r="D166" s="8">
        <v>2.52</v>
      </c>
      <c r="E166" s="4">
        <v>75</v>
      </c>
      <c r="F166" s="8">
        <v>4.08</v>
      </c>
      <c r="G166" s="4">
        <v>8</v>
      </c>
      <c r="H166" s="8">
        <v>0.56999999999999995</v>
      </c>
      <c r="I166" s="4">
        <v>0</v>
      </c>
    </row>
    <row r="167" spans="1:9" x14ac:dyDescent="0.2">
      <c r="A167" s="2">
        <v>8</v>
      </c>
      <c r="B167" s="1" t="s">
        <v>141</v>
      </c>
      <c r="C167" s="4">
        <v>74</v>
      </c>
      <c r="D167" s="8">
        <v>2.25</v>
      </c>
      <c r="E167" s="4">
        <v>50</v>
      </c>
      <c r="F167" s="8">
        <v>2.72</v>
      </c>
      <c r="G167" s="4">
        <v>24</v>
      </c>
      <c r="H167" s="8">
        <v>1.72</v>
      </c>
      <c r="I167" s="4">
        <v>0</v>
      </c>
    </row>
    <row r="168" spans="1:9" x14ac:dyDescent="0.2">
      <c r="A168" s="2">
        <v>9</v>
      </c>
      <c r="B168" s="1" t="s">
        <v>140</v>
      </c>
      <c r="C168" s="4">
        <v>65</v>
      </c>
      <c r="D168" s="8">
        <v>1.97</v>
      </c>
      <c r="E168" s="4">
        <v>46</v>
      </c>
      <c r="F168" s="8">
        <v>2.5</v>
      </c>
      <c r="G168" s="4">
        <v>19</v>
      </c>
      <c r="H168" s="8">
        <v>1.36</v>
      </c>
      <c r="I168" s="4">
        <v>0</v>
      </c>
    </row>
    <row r="169" spans="1:9" x14ac:dyDescent="0.2">
      <c r="A169" s="2">
        <v>9</v>
      </c>
      <c r="B169" s="1" t="s">
        <v>152</v>
      </c>
      <c r="C169" s="4">
        <v>65</v>
      </c>
      <c r="D169" s="8">
        <v>1.97</v>
      </c>
      <c r="E169" s="4">
        <v>54</v>
      </c>
      <c r="F169" s="8">
        <v>2.93</v>
      </c>
      <c r="G169" s="4">
        <v>11</v>
      </c>
      <c r="H169" s="8">
        <v>0.79</v>
      </c>
      <c r="I169" s="4">
        <v>0</v>
      </c>
    </row>
    <row r="170" spans="1:9" x14ac:dyDescent="0.2">
      <c r="A170" s="2">
        <v>11</v>
      </c>
      <c r="B170" s="1" t="s">
        <v>138</v>
      </c>
      <c r="C170" s="4">
        <v>64</v>
      </c>
      <c r="D170" s="8">
        <v>1.94</v>
      </c>
      <c r="E170" s="4">
        <v>29</v>
      </c>
      <c r="F170" s="8">
        <v>1.58</v>
      </c>
      <c r="G170" s="4">
        <v>35</v>
      </c>
      <c r="H170" s="8">
        <v>2.5</v>
      </c>
      <c r="I170" s="4">
        <v>0</v>
      </c>
    </row>
    <row r="171" spans="1:9" x14ac:dyDescent="0.2">
      <c r="A171" s="2">
        <v>12</v>
      </c>
      <c r="B171" s="1" t="s">
        <v>142</v>
      </c>
      <c r="C171" s="4">
        <v>63</v>
      </c>
      <c r="D171" s="8">
        <v>1.91</v>
      </c>
      <c r="E171" s="4">
        <v>15</v>
      </c>
      <c r="F171" s="8">
        <v>0.82</v>
      </c>
      <c r="G171" s="4">
        <v>48</v>
      </c>
      <c r="H171" s="8">
        <v>3.43</v>
      </c>
      <c r="I171" s="4">
        <v>0</v>
      </c>
    </row>
    <row r="172" spans="1:9" x14ac:dyDescent="0.2">
      <c r="A172" s="2">
        <v>13</v>
      </c>
      <c r="B172" s="1" t="s">
        <v>147</v>
      </c>
      <c r="C172" s="4">
        <v>61</v>
      </c>
      <c r="D172" s="8">
        <v>1.85</v>
      </c>
      <c r="E172" s="4">
        <v>47</v>
      </c>
      <c r="F172" s="8">
        <v>2.5499999999999998</v>
      </c>
      <c r="G172" s="4">
        <v>14</v>
      </c>
      <c r="H172" s="8">
        <v>1</v>
      </c>
      <c r="I172" s="4">
        <v>0</v>
      </c>
    </row>
    <row r="173" spans="1:9" x14ac:dyDescent="0.2">
      <c r="A173" s="2">
        <v>14</v>
      </c>
      <c r="B173" s="1" t="s">
        <v>143</v>
      </c>
      <c r="C173" s="4">
        <v>58</v>
      </c>
      <c r="D173" s="8">
        <v>1.76</v>
      </c>
      <c r="E173" s="4">
        <v>43</v>
      </c>
      <c r="F173" s="8">
        <v>2.34</v>
      </c>
      <c r="G173" s="4">
        <v>15</v>
      </c>
      <c r="H173" s="8">
        <v>1.07</v>
      </c>
      <c r="I173" s="4">
        <v>0</v>
      </c>
    </row>
    <row r="174" spans="1:9" x14ac:dyDescent="0.2">
      <c r="A174" s="2">
        <v>15</v>
      </c>
      <c r="B174" s="1" t="s">
        <v>146</v>
      </c>
      <c r="C174" s="4">
        <v>57</v>
      </c>
      <c r="D174" s="8">
        <v>1.73</v>
      </c>
      <c r="E174" s="4">
        <v>20</v>
      </c>
      <c r="F174" s="8">
        <v>1.0900000000000001</v>
      </c>
      <c r="G174" s="4">
        <v>36</v>
      </c>
      <c r="H174" s="8">
        <v>2.57</v>
      </c>
      <c r="I174" s="4">
        <v>0</v>
      </c>
    </row>
    <row r="175" spans="1:9" x14ac:dyDescent="0.2">
      <c r="A175" s="2">
        <v>16</v>
      </c>
      <c r="B175" s="1" t="s">
        <v>154</v>
      </c>
      <c r="C175" s="4">
        <v>54</v>
      </c>
      <c r="D175" s="8">
        <v>1.64</v>
      </c>
      <c r="E175" s="4">
        <v>44</v>
      </c>
      <c r="F175" s="8">
        <v>2.39</v>
      </c>
      <c r="G175" s="4">
        <v>10</v>
      </c>
      <c r="H175" s="8">
        <v>0.71</v>
      </c>
      <c r="I175" s="4">
        <v>0</v>
      </c>
    </row>
    <row r="176" spans="1:9" x14ac:dyDescent="0.2">
      <c r="A176" s="2">
        <v>17</v>
      </c>
      <c r="B176" s="1" t="s">
        <v>167</v>
      </c>
      <c r="C176" s="4">
        <v>51</v>
      </c>
      <c r="D176" s="8">
        <v>1.55</v>
      </c>
      <c r="E176" s="4">
        <v>33</v>
      </c>
      <c r="F176" s="8">
        <v>1.79</v>
      </c>
      <c r="G176" s="4">
        <v>18</v>
      </c>
      <c r="H176" s="8">
        <v>1.29</v>
      </c>
      <c r="I176" s="4">
        <v>0</v>
      </c>
    </row>
    <row r="177" spans="1:9" x14ac:dyDescent="0.2">
      <c r="A177" s="2">
        <v>18</v>
      </c>
      <c r="B177" s="1" t="s">
        <v>137</v>
      </c>
      <c r="C177" s="4">
        <v>45</v>
      </c>
      <c r="D177" s="8">
        <v>1.37</v>
      </c>
      <c r="E177" s="4">
        <v>31</v>
      </c>
      <c r="F177" s="8">
        <v>1.68</v>
      </c>
      <c r="G177" s="4">
        <v>14</v>
      </c>
      <c r="H177" s="8">
        <v>1</v>
      </c>
      <c r="I177" s="4">
        <v>0</v>
      </c>
    </row>
    <row r="178" spans="1:9" x14ac:dyDescent="0.2">
      <c r="A178" s="2">
        <v>19</v>
      </c>
      <c r="B178" s="1" t="s">
        <v>136</v>
      </c>
      <c r="C178" s="4">
        <v>44</v>
      </c>
      <c r="D178" s="8">
        <v>1.34</v>
      </c>
      <c r="E178" s="4">
        <v>11</v>
      </c>
      <c r="F178" s="8">
        <v>0.6</v>
      </c>
      <c r="G178" s="4">
        <v>33</v>
      </c>
      <c r="H178" s="8">
        <v>2.36</v>
      </c>
      <c r="I178" s="4">
        <v>0</v>
      </c>
    </row>
    <row r="179" spans="1:9" x14ac:dyDescent="0.2">
      <c r="A179" s="2">
        <v>20</v>
      </c>
      <c r="B179" s="1" t="s">
        <v>168</v>
      </c>
      <c r="C179" s="4">
        <v>43</v>
      </c>
      <c r="D179" s="8">
        <v>1.31</v>
      </c>
      <c r="E179" s="4">
        <v>11</v>
      </c>
      <c r="F179" s="8">
        <v>0.6</v>
      </c>
      <c r="G179" s="4">
        <v>32</v>
      </c>
      <c r="H179" s="8">
        <v>2.29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149</v>
      </c>
      <c r="C182" s="4">
        <v>81</v>
      </c>
      <c r="D182" s="8">
        <v>7.1</v>
      </c>
      <c r="E182" s="4">
        <v>78</v>
      </c>
      <c r="F182" s="8">
        <v>11.03</v>
      </c>
      <c r="G182" s="4">
        <v>3</v>
      </c>
      <c r="H182" s="8">
        <v>0.71</v>
      </c>
      <c r="I182" s="4">
        <v>0</v>
      </c>
    </row>
    <row r="183" spans="1:9" x14ac:dyDescent="0.2">
      <c r="A183" s="2">
        <v>2</v>
      </c>
      <c r="B183" s="1" t="s">
        <v>151</v>
      </c>
      <c r="C183" s="4">
        <v>64</v>
      </c>
      <c r="D183" s="8">
        <v>5.61</v>
      </c>
      <c r="E183" s="4">
        <v>60</v>
      </c>
      <c r="F183" s="8">
        <v>8.49</v>
      </c>
      <c r="G183" s="4">
        <v>4</v>
      </c>
      <c r="H183" s="8">
        <v>0.95</v>
      </c>
      <c r="I183" s="4">
        <v>0</v>
      </c>
    </row>
    <row r="184" spans="1:9" x14ac:dyDescent="0.2">
      <c r="A184" s="2">
        <v>3</v>
      </c>
      <c r="B184" s="1" t="s">
        <v>145</v>
      </c>
      <c r="C184" s="4">
        <v>46</v>
      </c>
      <c r="D184" s="8">
        <v>4.03</v>
      </c>
      <c r="E184" s="4">
        <v>35</v>
      </c>
      <c r="F184" s="8">
        <v>4.95</v>
      </c>
      <c r="G184" s="4">
        <v>10</v>
      </c>
      <c r="H184" s="8">
        <v>2.36</v>
      </c>
      <c r="I184" s="4">
        <v>0</v>
      </c>
    </row>
    <row r="185" spans="1:9" x14ac:dyDescent="0.2">
      <c r="A185" s="2">
        <v>4</v>
      </c>
      <c r="B185" s="1" t="s">
        <v>150</v>
      </c>
      <c r="C185" s="4">
        <v>43</v>
      </c>
      <c r="D185" s="8">
        <v>3.77</v>
      </c>
      <c r="E185" s="4">
        <v>41</v>
      </c>
      <c r="F185" s="8">
        <v>5.8</v>
      </c>
      <c r="G185" s="4">
        <v>2</v>
      </c>
      <c r="H185" s="8">
        <v>0.47</v>
      </c>
      <c r="I185" s="4">
        <v>0</v>
      </c>
    </row>
    <row r="186" spans="1:9" x14ac:dyDescent="0.2">
      <c r="A186" s="2">
        <v>5</v>
      </c>
      <c r="B186" s="1" t="s">
        <v>148</v>
      </c>
      <c r="C186" s="4">
        <v>40</v>
      </c>
      <c r="D186" s="8">
        <v>3.51</v>
      </c>
      <c r="E186" s="4">
        <v>37</v>
      </c>
      <c r="F186" s="8">
        <v>5.23</v>
      </c>
      <c r="G186" s="4">
        <v>3</v>
      </c>
      <c r="H186" s="8">
        <v>0.71</v>
      </c>
      <c r="I186" s="4">
        <v>0</v>
      </c>
    </row>
    <row r="187" spans="1:9" x14ac:dyDescent="0.2">
      <c r="A187" s="2">
        <v>6</v>
      </c>
      <c r="B187" s="1" t="s">
        <v>147</v>
      </c>
      <c r="C187" s="4">
        <v>37</v>
      </c>
      <c r="D187" s="8">
        <v>3.24</v>
      </c>
      <c r="E187" s="4">
        <v>31</v>
      </c>
      <c r="F187" s="8">
        <v>4.38</v>
      </c>
      <c r="G187" s="4">
        <v>6</v>
      </c>
      <c r="H187" s="8">
        <v>1.42</v>
      </c>
      <c r="I187" s="4">
        <v>0</v>
      </c>
    </row>
    <row r="188" spans="1:9" x14ac:dyDescent="0.2">
      <c r="A188" s="2">
        <v>7</v>
      </c>
      <c r="B188" s="1" t="s">
        <v>152</v>
      </c>
      <c r="C188" s="4">
        <v>26</v>
      </c>
      <c r="D188" s="8">
        <v>2.2799999999999998</v>
      </c>
      <c r="E188" s="4">
        <v>23</v>
      </c>
      <c r="F188" s="8">
        <v>3.25</v>
      </c>
      <c r="G188" s="4">
        <v>3</v>
      </c>
      <c r="H188" s="8">
        <v>0.71</v>
      </c>
      <c r="I188" s="4">
        <v>0</v>
      </c>
    </row>
    <row r="189" spans="1:9" x14ac:dyDescent="0.2">
      <c r="A189" s="2">
        <v>7</v>
      </c>
      <c r="B189" s="1" t="s">
        <v>153</v>
      </c>
      <c r="C189" s="4">
        <v>26</v>
      </c>
      <c r="D189" s="8">
        <v>2.2799999999999998</v>
      </c>
      <c r="E189" s="4">
        <v>24</v>
      </c>
      <c r="F189" s="8">
        <v>3.39</v>
      </c>
      <c r="G189" s="4">
        <v>2</v>
      </c>
      <c r="H189" s="8">
        <v>0.47</v>
      </c>
      <c r="I189" s="4">
        <v>0</v>
      </c>
    </row>
    <row r="190" spans="1:9" x14ac:dyDescent="0.2">
      <c r="A190" s="2">
        <v>9</v>
      </c>
      <c r="B190" s="1" t="s">
        <v>140</v>
      </c>
      <c r="C190" s="4">
        <v>24</v>
      </c>
      <c r="D190" s="8">
        <v>2.1</v>
      </c>
      <c r="E190" s="4">
        <v>13</v>
      </c>
      <c r="F190" s="8">
        <v>1.84</v>
      </c>
      <c r="G190" s="4">
        <v>11</v>
      </c>
      <c r="H190" s="8">
        <v>2.6</v>
      </c>
      <c r="I190" s="4">
        <v>0</v>
      </c>
    </row>
    <row r="191" spans="1:9" x14ac:dyDescent="0.2">
      <c r="A191" s="2">
        <v>10</v>
      </c>
      <c r="B191" s="1" t="s">
        <v>143</v>
      </c>
      <c r="C191" s="4">
        <v>23</v>
      </c>
      <c r="D191" s="8">
        <v>2.02</v>
      </c>
      <c r="E191" s="4">
        <v>16</v>
      </c>
      <c r="F191" s="8">
        <v>2.2599999999999998</v>
      </c>
      <c r="G191" s="4">
        <v>7</v>
      </c>
      <c r="H191" s="8">
        <v>1.65</v>
      </c>
      <c r="I191" s="4">
        <v>0</v>
      </c>
    </row>
    <row r="192" spans="1:9" x14ac:dyDescent="0.2">
      <c r="A192" s="2">
        <v>11</v>
      </c>
      <c r="B192" s="1" t="s">
        <v>141</v>
      </c>
      <c r="C192" s="4">
        <v>21</v>
      </c>
      <c r="D192" s="8">
        <v>1.84</v>
      </c>
      <c r="E192" s="4">
        <v>15</v>
      </c>
      <c r="F192" s="8">
        <v>2.12</v>
      </c>
      <c r="G192" s="4">
        <v>6</v>
      </c>
      <c r="H192" s="8">
        <v>1.42</v>
      </c>
      <c r="I192" s="4">
        <v>0</v>
      </c>
    </row>
    <row r="193" spans="1:9" x14ac:dyDescent="0.2">
      <c r="A193" s="2">
        <v>11</v>
      </c>
      <c r="B193" s="1" t="s">
        <v>142</v>
      </c>
      <c r="C193" s="4">
        <v>21</v>
      </c>
      <c r="D193" s="8">
        <v>1.84</v>
      </c>
      <c r="E193" s="4">
        <v>5</v>
      </c>
      <c r="F193" s="8">
        <v>0.71</v>
      </c>
      <c r="G193" s="4">
        <v>16</v>
      </c>
      <c r="H193" s="8">
        <v>3.78</v>
      </c>
      <c r="I193" s="4">
        <v>0</v>
      </c>
    </row>
    <row r="194" spans="1:9" x14ac:dyDescent="0.2">
      <c r="A194" s="2">
        <v>11</v>
      </c>
      <c r="B194" s="1" t="s">
        <v>146</v>
      </c>
      <c r="C194" s="4">
        <v>21</v>
      </c>
      <c r="D194" s="8">
        <v>1.84</v>
      </c>
      <c r="E194" s="4">
        <v>8</v>
      </c>
      <c r="F194" s="8">
        <v>1.1299999999999999</v>
      </c>
      <c r="G194" s="4">
        <v>12</v>
      </c>
      <c r="H194" s="8">
        <v>2.84</v>
      </c>
      <c r="I194" s="4">
        <v>0</v>
      </c>
    </row>
    <row r="195" spans="1:9" x14ac:dyDescent="0.2">
      <c r="A195" s="2">
        <v>14</v>
      </c>
      <c r="B195" s="1" t="s">
        <v>135</v>
      </c>
      <c r="C195" s="4">
        <v>19</v>
      </c>
      <c r="D195" s="8">
        <v>1.67</v>
      </c>
      <c r="E195" s="4">
        <v>4</v>
      </c>
      <c r="F195" s="8">
        <v>0.56999999999999995</v>
      </c>
      <c r="G195" s="4">
        <v>15</v>
      </c>
      <c r="H195" s="8">
        <v>3.55</v>
      </c>
      <c r="I195" s="4">
        <v>0</v>
      </c>
    </row>
    <row r="196" spans="1:9" x14ac:dyDescent="0.2">
      <c r="A196" s="2">
        <v>14</v>
      </c>
      <c r="B196" s="1" t="s">
        <v>170</v>
      </c>
      <c r="C196" s="4">
        <v>19</v>
      </c>
      <c r="D196" s="8">
        <v>1.67</v>
      </c>
      <c r="E196" s="4">
        <v>15</v>
      </c>
      <c r="F196" s="8">
        <v>2.12</v>
      </c>
      <c r="G196" s="4">
        <v>4</v>
      </c>
      <c r="H196" s="8">
        <v>0.95</v>
      </c>
      <c r="I196" s="4">
        <v>0</v>
      </c>
    </row>
    <row r="197" spans="1:9" x14ac:dyDescent="0.2">
      <c r="A197" s="2">
        <v>16</v>
      </c>
      <c r="B197" s="1" t="s">
        <v>138</v>
      </c>
      <c r="C197" s="4">
        <v>17</v>
      </c>
      <c r="D197" s="8">
        <v>1.49</v>
      </c>
      <c r="E197" s="4">
        <v>9</v>
      </c>
      <c r="F197" s="8">
        <v>1.27</v>
      </c>
      <c r="G197" s="4">
        <v>8</v>
      </c>
      <c r="H197" s="8">
        <v>1.89</v>
      </c>
      <c r="I197" s="4">
        <v>0</v>
      </c>
    </row>
    <row r="198" spans="1:9" x14ac:dyDescent="0.2">
      <c r="A198" s="2">
        <v>16</v>
      </c>
      <c r="B198" s="1" t="s">
        <v>139</v>
      </c>
      <c r="C198" s="4">
        <v>17</v>
      </c>
      <c r="D198" s="8">
        <v>1.49</v>
      </c>
      <c r="E198" s="4">
        <v>8</v>
      </c>
      <c r="F198" s="8">
        <v>1.1299999999999999</v>
      </c>
      <c r="G198" s="4">
        <v>9</v>
      </c>
      <c r="H198" s="8">
        <v>2.13</v>
      </c>
      <c r="I198" s="4">
        <v>0</v>
      </c>
    </row>
    <row r="199" spans="1:9" x14ac:dyDescent="0.2">
      <c r="A199" s="2">
        <v>16</v>
      </c>
      <c r="B199" s="1" t="s">
        <v>169</v>
      </c>
      <c r="C199" s="4">
        <v>17</v>
      </c>
      <c r="D199" s="8">
        <v>1.49</v>
      </c>
      <c r="E199" s="4">
        <v>3</v>
      </c>
      <c r="F199" s="8">
        <v>0.42</v>
      </c>
      <c r="G199" s="4">
        <v>14</v>
      </c>
      <c r="H199" s="8">
        <v>3.31</v>
      </c>
      <c r="I199" s="4">
        <v>0</v>
      </c>
    </row>
    <row r="200" spans="1:9" x14ac:dyDescent="0.2">
      <c r="A200" s="2">
        <v>19</v>
      </c>
      <c r="B200" s="1" t="s">
        <v>167</v>
      </c>
      <c r="C200" s="4">
        <v>16</v>
      </c>
      <c r="D200" s="8">
        <v>1.4</v>
      </c>
      <c r="E200" s="4">
        <v>9</v>
      </c>
      <c r="F200" s="8">
        <v>1.27</v>
      </c>
      <c r="G200" s="4">
        <v>7</v>
      </c>
      <c r="H200" s="8">
        <v>1.65</v>
      </c>
      <c r="I200" s="4">
        <v>0</v>
      </c>
    </row>
    <row r="201" spans="1:9" x14ac:dyDescent="0.2">
      <c r="A201" s="2">
        <v>20</v>
      </c>
      <c r="B201" s="1" t="s">
        <v>155</v>
      </c>
      <c r="C201" s="4">
        <v>14</v>
      </c>
      <c r="D201" s="8">
        <v>1.23</v>
      </c>
      <c r="E201" s="4">
        <v>7</v>
      </c>
      <c r="F201" s="8">
        <v>0.99</v>
      </c>
      <c r="G201" s="4">
        <v>7</v>
      </c>
      <c r="H201" s="8">
        <v>1.65</v>
      </c>
      <c r="I201" s="4">
        <v>0</v>
      </c>
    </row>
    <row r="202" spans="1:9" x14ac:dyDescent="0.2">
      <c r="A202" s="2">
        <v>20</v>
      </c>
      <c r="B202" s="1" t="s">
        <v>160</v>
      </c>
      <c r="C202" s="4">
        <v>14</v>
      </c>
      <c r="D202" s="8">
        <v>1.23</v>
      </c>
      <c r="E202" s="4">
        <v>8</v>
      </c>
      <c r="F202" s="8">
        <v>1.1299999999999999</v>
      </c>
      <c r="G202" s="4">
        <v>6</v>
      </c>
      <c r="H202" s="8">
        <v>1.42</v>
      </c>
      <c r="I202" s="4">
        <v>0</v>
      </c>
    </row>
    <row r="203" spans="1:9" x14ac:dyDescent="0.2">
      <c r="A203" s="2">
        <v>20</v>
      </c>
      <c r="B203" s="1" t="s">
        <v>161</v>
      </c>
      <c r="C203" s="4">
        <v>14</v>
      </c>
      <c r="D203" s="8">
        <v>1.23</v>
      </c>
      <c r="E203" s="4">
        <v>8</v>
      </c>
      <c r="F203" s="8">
        <v>1.1299999999999999</v>
      </c>
      <c r="G203" s="4">
        <v>6</v>
      </c>
      <c r="H203" s="8">
        <v>1.42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151</v>
      </c>
      <c r="C206" s="4">
        <v>89</v>
      </c>
      <c r="D206" s="8">
        <v>9.66</v>
      </c>
      <c r="E206" s="4">
        <v>79</v>
      </c>
      <c r="F206" s="8">
        <v>15.64</v>
      </c>
      <c r="G206" s="4">
        <v>10</v>
      </c>
      <c r="H206" s="8">
        <v>2.4700000000000002</v>
      </c>
      <c r="I206" s="4">
        <v>0</v>
      </c>
    </row>
    <row r="207" spans="1:9" x14ac:dyDescent="0.2">
      <c r="A207" s="2">
        <v>2</v>
      </c>
      <c r="B207" s="1" t="s">
        <v>150</v>
      </c>
      <c r="C207" s="4">
        <v>43</v>
      </c>
      <c r="D207" s="8">
        <v>4.67</v>
      </c>
      <c r="E207" s="4">
        <v>41</v>
      </c>
      <c r="F207" s="8">
        <v>8.1199999999999992</v>
      </c>
      <c r="G207" s="4">
        <v>2</v>
      </c>
      <c r="H207" s="8">
        <v>0.49</v>
      </c>
      <c r="I207" s="4">
        <v>0</v>
      </c>
    </row>
    <row r="208" spans="1:9" x14ac:dyDescent="0.2">
      <c r="A208" s="2">
        <v>3</v>
      </c>
      <c r="B208" s="1" t="s">
        <v>141</v>
      </c>
      <c r="C208" s="4">
        <v>35</v>
      </c>
      <c r="D208" s="8">
        <v>3.8</v>
      </c>
      <c r="E208" s="4">
        <v>23</v>
      </c>
      <c r="F208" s="8">
        <v>4.55</v>
      </c>
      <c r="G208" s="4">
        <v>12</v>
      </c>
      <c r="H208" s="8">
        <v>2.96</v>
      </c>
      <c r="I208" s="4">
        <v>0</v>
      </c>
    </row>
    <row r="209" spans="1:9" x14ac:dyDescent="0.2">
      <c r="A209" s="2">
        <v>4</v>
      </c>
      <c r="B209" s="1" t="s">
        <v>153</v>
      </c>
      <c r="C209" s="4">
        <v>28</v>
      </c>
      <c r="D209" s="8">
        <v>3.04</v>
      </c>
      <c r="E209" s="4">
        <v>25</v>
      </c>
      <c r="F209" s="8">
        <v>4.95</v>
      </c>
      <c r="G209" s="4">
        <v>3</v>
      </c>
      <c r="H209" s="8">
        <v>0.74</v>
      </c>
      <c r="I209" s="4">
        <v>0</v>
      </c>
    </row>
    <row r="210" spans="1:9" x14ac:dyDescent="0.2">
      <c r="A210" s="2">
        <v>5</v>
      </c>
      <c r="B210" s="1" t="s">
        <v>140</v>
      </c>
      <c r="C210" s="4">
        <v>24</v>
      </c>
      <c r="D210" s="8">
        <v>2.61</v>
      </c>
      <c r="E210" s="4">
        <v>15</v>
      </c>
      <c r="F210" s="8">
        <v>2.97</v>
      </c>
      <c r="G210" s="4">
        <v>9</v>
      </c>
      <c r="H210" s="8">
        <v>2.2200000000000002</v>
      </c>
      <c r="I210" s="4">
        <v>0</v>
      </c>
    </row>
    <row r="211" spans="1:9" x14ac:dyDescent="0.2">
      <c r="A211" s="2">
        <v>6</v>
      </c>
      <c r="B211" s="1" t="s">
        <v>136</v>
      </c>
      <c r="C211" s="4">
        <v>23</v>
      </c>
      <c r="D211" s="8">
        <v>2.5</v>
      </c>
      <c r="E211" s="4">
        <v>4</v>
      </c>
      <c r="F211" s="8">
        <v>0.79</v>
      </c>
      <c r="G211" s="4">
        <v>19</v>
      </c>
      <c r="H211" s="8">
        <v>4.6900000000000004</v>
      </c>
      <c r="I211" s="4">
        <v>0</v>
      </c>
    </row>
    <row r="212" spans="1:9" x14ac:dyDescent="0.2">
      <c r="A212" s="2">
        <v>7</v>
      </c>
      <c r="B212" s="1" t="s">
        <v>142</v>
      </c>
      <c r="C212" s="4">
        <v>22</v>
      </c>
      <c r="D212" s="8">
        <v>2.39</v>
      </c>
      <c r="E212" s="4">
        <v>3</v>
      </c>
      <c r="F212" s="8">
        <v>0.59</v>
      </c>
      <c r="G212" s="4">
        <v>19</v>
      </c>
      <c r="H212" s="8">
        <v>4.6900000000000004</v>
      </c>
      <c r="I212" s="4">
        <v>0</v>
      </c>
    </row>
    <row r="213" spans="1:9" x14ac:dyDescent="0.2">
      <c r="A213" s="2">
        <v>7</v>
      </c>
      <c r="B213" s="1" t="s">
        <v>154</v>
      </c>
      <c r="C213" s="4">
        <v>22</v>
      </c>
      <c r="D213" s="8">
        <v>2.39</v>
      </c>
      <c r="E213" s="4">
        <v>19</v>
      </c>
      <c r="F213" s="8">
        <v>3.76</v>
      </c>
      <c r="G213" s="4">
        <v>3</v>
      </c>
      <c r="H213" s="8">
        <v>0.74</v>
      </c>
      <c r="I213" s="4">
        <v>0</v>
      </c>
    </row>
    <row r="214" spans="1:9" x14ac:dyDescent="0.2">
      <c r="A214" s="2">
        <v>9</v>
      </c>
      <c r="B214" s="1" t="s">
        <v>147</v>
      </c>
      <c r="C214" s="4">
        <v>20</v>
      </c>
      <c r="D214" s="8">
        <v>2.17</v>
      </c>
      <c r="E214" s="4">
        <v>16</v>
      </c>
      <c r="F214" s="8">
        <v>3.17</v>
      </c>
      <c r="G214" s="4">
        <v>4</v>
      </c>
      <c r="H214" s="8">
        <v>0.99</v>
      </c>
      <c r="I214" s="4">
        <v>0</v>
      </c>
    </row>
    <row r="215" spans="1:9" x14ac:dyDescent="0.2">
      <c r="A215" s="2">
        <v>10</v>
      </c>
      <c r="B215" s="1" t="s">
        <v>137</v>
      </c>
      <c r="C215" s="4">
        <v>19</v>
      </c>
      <c r="D215" s="8">
        <v>2.06</v>
      </c>
      <c r="E215" s="4">
        <v>5</v>
      </c>
      <c r="F215" s="8">
        <v>0.99</v>
      </c>
      <c r="G215" s="4">
        <v>14</v>
      </c>
      <c r="H215" s="8">
        <v>3.46</v>
      </c>
      <c r="I215" s="4">
        <v>0</v>
      </c>
    </row>
    <row r="216" spans="1:9" x14ac:dyDescent="0.2">
      <c r="A216" s="2">
        <v>10</v>
      </c>
      <c r="B216" s="1" t="s">
        <v>148</v>
      </c>
      <c r="C216" s="4">
        <v>19</v>
      </c>
      <c r="D216" s="8">
        <v>2.06</v>
      </c>
      <c r="E216" s="4">
        <v>18</v>
      </c>
      <c r="F216" s="8">
        <v>3.56</v>
      </c>
      <c r="G216" s="4">
        <v>1</v>
      </c>
      <c r="H216" s="8">
        <v>0.25</v>
      </c>
      <c r="I216" s="4">
        <v>0</v>
      </c>
    </row>
    <row r="217" spans="1:9" x14ac:dyDescent="0.2">
      <c r="A217" s="2">
        <v>10</v>
      </c>
      <c r="B217" s="1" t="s">
        <v>152</v>
      </c>
      <c r="C217" s="4">
        <v>19</v>
      </c>
      <c r="D217" s="8">
        <v>2.06</v>
      </c>
      <c r="E217" s="4">
        <v>14</v>
      </c>
      <c r="F217" s="8">
        <v>2.77</v>
      </c>
      <c r="G217" s="4">
        <v>5</v>
      </c>
      <c r="H217" s="8">
        <v>1.23</v>
      </c>
      <c r="I217" s="4">
        <v>0</v>
      </c>
    </row>
    <row r="218" spans="1:9" x14ac:dyDescent="0.2">
      <c r="A218" s="2">
        <v>13</v>
      </c>
      <c r="B218" s="1" t="s">
        <v>138</v>
      </c>
      <c r="C218" s="4">
        <v>16</v>
      </c>
      <c r="D218" s="8">
        <v>1.74</v>
      </c>
      <c r="E218" s="4">
        <v>3</v>
      </c>
      <c r="F218" s="8">
        <v>0.59</v>
      </c>
      <c r="G218" s="4">
        <v>13</v>
      </c>
      <c r="H218" s="8">
        <v>3.21</v>
      </c>
      <c r="I218" s="4">
        <v>0</v>
      </c>
    </row>
    <row r="219" spans="1:9" x14ac:dyDescent="0.2">
      <c r="A219" s="2">
        <v>13</v>
      </c>
      <c r="B219" s="1" t="s">
        <v>139</v>
      </c>
      <c r="C219" s="4">
        <v>16</v>
      </c>
      <c r="D219" s="8">
        <v>1.74</v>
      </c>
      <c r="E219" s="4">
        <v>6</v>
      </c>
      <c r="F219" s="8">
        <v>1.19</v>
      </c>
      <c r="G219" s="4">
        <v>10</v>
      </c>
      <c r="H219" s="8">
        <v>2.4700000000000002</v>
      </c>
      <c r="I219" s="4">
        <v>0</v>
      </c>
    </row>
    <row r="220" spans="1:9" x14ac:dyDescent="0.2">
      <c r="A220" s="2">
        <v>13</v>
      </c>
      <c r="B220" s="1" t="s">
        <v>145</v>
      </c>
      <c r="C220" s="4">
        <v>16</v>
      </c>
      <c r="D220" s="8">
        <v>1.74</v>
      </c>
      <c r="E220" s="4">
        <v>9</v>
      </c>
      <c r="F220" s="8">
        <v>1.78</v>
      </c>
      <c r="G220" s="4">
        <v>7</v>
      </c>
      <c r="H220" s="8">
        <v>1.73</v>
      </c>
      <c r="I220" s="4">
        <v>0</v>
      </c>
    </row>
    <row r="221" spans="1:9" x14ac:dyDescent="0.2">
      <c r="A221" s="2">
        <v>16</v>
      </c>
      <c r="B221" s="1" t="s">
        <v>135</v>
      </c>
      <c r="C221" s="4">
        <v>14</v>
      </c>
      <c r="D221" s="8">
        <v>1.52</v>
      </c>
      <c r="E221" s="4">
        <v>3</v>
      </c>
      <c r="F221" s="8">
        <v>0.59</v>
      </c>
      <c r="G221" s="4">
        <v>11</v>
      </c>
      <c r="H221" s="8">
        <v>2.72</v>
      </c>
      <c r="I221" s="4">
        <v>0</v>
      </c>
    </row>
    <row r="222" spans="1:9" x14ac:dyDescent="0.2">
      <c r="A222" s="2">
        <v>16</v>
      </c>
      <c r="B222" s="1" t="s">
        <v>168</v>
      </c>
      <c r="C222" s="4">
        <v>14</v>
      </c>
      <c r="D222" s="8">
        <v>1.52</v>
      </c>
      <c r="E222" s="4">
        <v>7</v>
      </c>
      <c r="F222" s="8">
        <v>1.39</v>
      </c>
      <c r="G222" s="4">
        <v>7</v>
      </c>
      <c r="H222" s="8">
        <v>1.73</v>
      </c>
      <c r="I222" s="4">
        <v>0</v>
      </c>
    </row>
    <row r="223" spans="1:9" x14ac:dyDescent="0.2">
      <c r="A223" s="2">
        <v>16</v>
      </c>
      <c r="B223" s="1" t="s">
        <v>155</v>
      </c>
      <c r="C223" s="4">
        <v>14</v>
      </c>
      <c r="D223" s="8">
        <v>1.52</v>
      </c>
      <c r="E223" s="4">
        <v>6</v>
      </c>
      <c r="F223" s="8">
        <v>1.19</v>
      </c>
      <c r="G223" s="4">
        <v>8</v>
      </c>
      <c r="H223" s="8">
        <v>1.98</v>
      </c>
      <c r="I223" s="4">
        <v>0</v>
      </c>
    </row>
    <row r="224" spans="1:9" x14ac:dyDescent="0.2">
      <c r="A224" s="2">
        <v>19</v>
      </c>
      <c r="B224" s="1" t="s">
        <v>143</v>
      </c>
      <c r="C224" s="4">
        <v>13</v>
      </c>
      <c r="D224" s="8">
        <v>1.41</v>
      </c>
      <c r="E224" s="4">
        <v>8</v>
      </c>
      <c r="F224" s="8">
        <v>1.58</v>
      </c>
      <c r="G224" s="4">
        <v>5</v>
      </c>
      <c r="H224" s="8">
        <v>1.23</v>
      </c>
      <c r="I224" s="4">
        <v>0</v>
      </c>
    </row>
    <row r="225" spans="1:9" x14ac:dyDescent="0.2">
      <c r="A225" s="2">
        <v>20</v>
      </c>
      <c r="B225" s="1" t="s">
        <v>171</v>
      </c>
      <c r="C225" s="4">
        <v>12</v>
      </c>
      <c r="D225" s="8">
        <v>1.3</v>
      </c>
      <c r="E225" s="4">
        <v>6</v>
      </c>
      <c r="F225" s="8">
        <v>1.19</v>
      </c>
      <c r="G225" s="4">
        <v>6</v>
      </c>
      <c r="H225" s="8">
        <v>1.48</v>
      </c>
      <c r="I225" s="4">
        <v>0</v>
      </c>
    </row>
    <row r="226" spans="1:9" x14ac:dyDescent="0.2">
      <c r="A226" s="2">
        <v>20</v>
      </c>
      <c r="B226" s="1" t="s">
        <v>172</v>
      </c>
      <c r="C226" s="4">
        <v>12</v>
      </c>
      <c r="D226" s="8">
        <v>1.3</v>
      </c>
      <c r="E226" s="4">
        <v>9</v>
      </c>
      <c r="F226" s="8">
        <v>1.78</v>
      </c>
      <c r="G226" s="4">
        <v>3</v>
      </c>
      <c r="H226" s="8">
        <v>0.74</v>
      </c>
      <c r="I226" s="4">
        <v>0</v>
      </c>
    </row>
    <row r="227" spans="1:9" x14ac:dyDescent="0.2">
      <c r="A227" s="1"/>
      <c r="C227" s="4"/>
      <c r="D227" s="8"/>
      <c r="E227" s="4"/>
      <c r="F227" s="8"/>
      <c r="G227" s="4"/>
      <c r="H227" s="8"/>
      <c r="I227" s="4"/>
    </row>
    <row r="228" spans="1:9" x14ac:dyDescent="0.2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2">
      <c r="A229" s="2">
        <v>1</v>
      </c>
      <c r="B229" s="1" t="s">
        <v>145</v>
      </c>
      <c r="C229" s="4">
        <v>55</v>
      </c>
      <c r="D229" s="8">
        <v>7.54</v>
      </c>
      <c r="E229" s="4">
        <v>48</v>
      </c>
      <c r="F229" s="8">
        <v>10.5</v>
      </c>
      <c r="G229" s="4">
        <v>7</v>
      </c>
      <c r="H229" s="8">
        <v>2.63</v>
      </c>
      <c r="I229" s="4">
        <v>0</v>
      </c>
    </row>
    <row r="230" spans="1:9" x14ac:dyDescent="0.2">
      <c r="A230" s="2">
        <v>2</v>
      </c>
      <c r="B230" s="1" t="s">
        <v>151</v>
      </c>
      <c r="C230" s="4">
        <v>39</v>
      </c>
      <c r="D230" s="8">
        <v>5.35</v>
      </c>
      <c r="E230" s="4">
        <v>38</v>
      </c>
      <c r="F230" s="8">
        <v>8.32</v>
      </c>
      <c r="G230" s="4">
        <v>1</v>
      </c>
      <c r="H230" s="8">
        <v>0.38</v>
      </c>
      <c r="I230" s="4">
        <v>0</v>
      </c>
    </row>
    <row r="231" spans="1:9" x14ac:dyDescent="0.2">
      <c r="A231" s="2">
        <v>3</v>
      </c>
      <c r="B231" s="1" t="s">
        <v>149</v>
      </c>
      <c r="C231" s="4">
        <v>33</v>
      </c>
      <c r="D231" s="8">
        <v>4.53</v>
      </c>
      <c r="E231" s="4">
        <v>31</v>
      </c>
      <c r="F231" s="8">
        <v>6.78</v>
      </c>
      <c r="G231" s="4">
        <v>2</v>
      </c>
      <c r="H231" s="8">
        <v>0.75</v>
      </c>
      <c r="I231" s="4">
        <v>0</v>
      </c>
    </row>
    <row r="232" spans="1:9" x14ac:dyDescent="0.2">
      <c r="A232" s="2">
        <v>4</v>
      </c>
      <c r="B232" s="1" t="s">
        <v>156</v>
      </c>
      <c r="C232" s="4">
        <v>27</v>
      </c>
      <c r="D232" s="8">
        <v>3.7</v>
      </c>
      <c r="E232" s="4">
        <v>25</v>
      </c>
      <c r="F232" s="8">
        <v>5.47</v>
      </c>
      <c r="G232" s="4">
        <v>2</v>
      </c>
      <c r="H232" s="8">
        <v>0.75</v>
      </c>
      <c r="I232" s="4">
        <v>0</v>
      </c>
    </row>
    <row r="233" spans="1:9" x14ac:dyDescent="0.2">
      <c r="A233" s="2">
        <v>5</v>
      </c>
      <c r="B233" s="1" t="s">
        <v>150</v>
      </c>
      <c r="C233" s="4">
        <v>25</v>
      </c>
      <c r="D233" s="8">
        <v>3.43</v>
      </c>
      <c r="E233" s="4">
        <v>23</v>
      </c>
      <c r="F233" s="8">
        <v>5.03</v>
      </c>
      <c r="G233" s="4">
        <v>2</v>
      </c>
      <c r="H233" s="8">
        <v>0.75</v>
      </c>
      <c r="I233" s="4">
        <v>0</v>
      </c>
    </row>
    <row r="234" spans="1:9" x14ac:dyDescent="0.2">
      <c r="A234" s="2">
        <v>6</v>
      </c>
      <c r="B234" s="1" t="s">
        <v>148</v>
      </c>
      <c r="C234" s="4">
        <v>22</v>
      </c>
      <c r="D234" s="8">
        <v>3.02</v>
      </c>
      <c r="E234" s="4">
        <v>20</v>
      </c>
      <c r="F234" s="8">
        <v>4.38</v>
      </c>
      <c r="G234" s="4">
        <v>2</v>
      </c>
      <c r="H234" s="8">
        <v>0.75</v>
      </c>
      <c r="I234" s="4">
        <v>0</v>
      </c>
    </row>
    <row r="235" spans="1:9" x14ac:dyDescent="0.2">
      <c r="A235" s="2">
        <v>7</v>
      </c>
      <c r="B235" s="1" t="s">
        <v>135</v>
      </c>
      <c r="C235" s="4">
        <v>19</v>
      </c>
      <c r="D235" s="8">
        <v>2.61</v>
      </c>
      <c r="E235" s="4">
        <v>6</v>
      </c>
      <c r="F235" s="8">
        <v>1.31</v>
      </c>
      <c r="G235" s="4">
        <v>13</v>
      </c>
      <c r="H235" s="8">
        <v>4.8899999999999997</v>
      </c>
      <c r="I235" s="4">
        <v>0</v>
      </c>
    </row>
    <row r="236" spans="1:9" x14ac:dyDescent="0.2">
      <c r="A236" s="2">
        <v>7</v>
      </c>
      <c r="B236" s="1" t="s">
        <v>153</v>
      </c>
      <c r="C236" s="4">
        <v>19</v>
      </c>
      <c r="D236" s="8">
        <v>2.61</v>
      </c>
      <c r="E236" s="4">
        <v>17</v>
      </c>
      <c r="F236" s="8">
        <v>3.72</v>
      </c>
      <c r="G236" s="4">
        <v>2</v>
      </c>
      <c r="H236" s="8">
        <v>0.75</v>
      </c>
      <c r="I236" s="4">
        <v>0</v>
      </c>
    </row>
    <row r="237" spans="1:9" x14ac:dyDescent="0.2">
      <c r="A237" s="2">
        <v>9</v>
      </c>
      <c r="B237" s="1" t="s">
        <v>147</v>
      </c>
      <c r="C237" s="4">
        <v>17</v>
      </c>
      <c r="D237" s="8">
        <v>2.33</v>
      </c>
      <c r="E237" s="4">
        <v>16</v>
      </c>
      <c r="F237" s="8">
        <v>3.5</v>
      </c>
      <c r="G237" s="4">
        <v>1</v>
      </c>
      <c r="H237" s="8">
        <v>0.38</v>
      </c>
      <c r="I237" s="4">
        <v>0</v>
      </c>
    </row>
    <row r="238" spans="1:9" x14ac:dyDescent="0.2">
      <c r="A238" s="2">
        <v>10</v>
      </c>
      <c r="B238" s="1" t="s">
        <v>141</v>
      </c>
      <c r="C238" s="4">
        <v>16</v>
      </c>
      <c r="D238" s="8">
        <v>2.19</v>
      </c>
      <c r="E238" s="4">
        <v>11</v>
      </c>
      <c r="F238" s="8">
        <v>2.41</v>
      </c>
      <c r="G238" s="4">
        <v>5</v>
      </c>
      <c r="H238" s="8">
        <v>1.88</v>
      </c>
      <c r="I238" s="4">
        <v>0</v>
      </c>
    </row>
    <row r="239" spans="1:9" x14ac:dyDescent="0.2">
      <c r="A239" s="2">
        <v>10</v>
      </c>
      <c r="B239" s="1" t="s">
        <v>154</v>
      </c>
      <c r="C239" s="4">
        <v>16</v>
      </c>
      <c r="D239" s="8">
        <v>2.19</v>
      </c>
      <c r="E239" s="4">
        <v>13</v>
      </c>
      <c r="F239" s="8">
        <v>2.84</v>
      </c>
      <c r="G239" s="4">
        <v>3</v>
      </c>
      <c r="H239" s="8">
        <v>1.1299999999999999</v>
      </c>
      <c r="I239" s="4">
        <v>0</v>
      </c>
    </row>
    <row r="240" spans="1:9" x14ac:dyDescent="0.2">
      <c r="A240" s="2">
        <v>12</v>
      </c>
      <c r="B240" s="1" t="s">
        <v>140</v>
      </c>
      <c r="C240" s="4">
        <v>14</v>
      </c>
      <c r="D240" s="8">
        <v>1.92</v>
      </c>
      <c r="E240" s="4">
        <v>3</v>
      </c>
      <c r="F240" s="8">
        <v>0.66</v>
      </c>
      <c r="G240" s="4">
        <v>10</v>
      </c>
      <c r="H240" s="8">
        <v>3.76</v>
      </c>
      <c r="I240" s="4">
        <v>1</v>
      </c>
    </row>
    <row r="241" spans="1:9" x14ac:dyDescent="0.2">
      <c r="A241" s="2">
        <v>13</v>
      </c>
      <c r="B241" s="1" t="s">
        <v>167</v>
      </c>
      <c r="C241" s="4">
        <v>13</v>
      </c>
      <c r="D241" s="8">
        <v>1.78</v>
      </c>
      <c r="E241" s="4">
        <v>9</v>
      </c>
      <c r="F241" s="8">
        <v>1.97</v>
      </c>
      <c r="G241" s="4">
        <v>4</v>
      </c>
      <c r="H241" s="8">
        <v>1.5</v>
      </c>
      <c r="I241" s="4">
        <v>0</v>
      </c>
    </row>
    <row r="242" spans="1:9" x14ac:dyDescent="0.2">
      <c r="A242" s="2">
        <v>14</v>
      </c>
      <c r="B242" s="1" t="s">
        <v>143</v>
      </c>
      <c r="C242" s="4">
        <v>12</v>
      </c>
      <c r="D242" s="8">
        <v>1.65</v>
      </c>
      <c r="E242" s="4">
        <v>9</v>
      </c>
      <c r="F242" s="8">
        <v>1.97</v>
      </c>
      <c r="G242" s="4">
        <v>3</v>
      </c>
      <c r="H242" s="8">
        <v>1.1299999999999999</v>
      </c>
      <c r="I242" s="4">
        <v>0</v>
      </c>
    </row>
    <row r="243" spans="1:9" x14ac:dyDescent="0.2">
      <c r="A243" s="2">
        <v>15</v>
      </c>
      <c r="B243" s="1" t="s">
        <v>166</v>
      </c>
      <c r="C243" s="4">
        <v>11</v>
      </c>
      <c r="D243" s="8">
        <v>1.51</v>
      </c>
      <c r="E243" s="4">
        <v>8</v>
      </c>
      <c r="F243" s="8">
        <v>1.75</v>
      </c>
      <c r="G243" s="4">
        <v>3</v>
      </c>
      <c r="H243" s="8">
        <v>1.1299999999999999</v>
      </c>
      <c r="I243" s="4">
        <v>0</v>
      </c>
    </row>
    <row r="244" spans="1:9" x14ac:dyDescent="0.2">
      <c r="A244" s="2">
        <v>16</v>
      </c>
      <c r="B244" s="1" t="s">
        <v>138</v>
      </c>
      <c r="C244" s="4">
        <v>10</v>
      </c>
      <c r="D244" s="8">
        <v>1.37</v>
      </c>
      <c r="E244" s="4">
        <v>2</v>
      </c>
      <c r="F244" s="8">
        <v>0.44</v>
      </c>
      <c r="G244" s="4">
        <v>8</v>
      </c>
      <c r="H244" s="8">
        <v>3.01</v>
      </c>
      <c r="I244" s="4">
        <v>0</v>
      </c>
    </row>
    <row r="245" spans="1:9" x14ac:dyDescent="0.2">
      <c r="A245" s="2">
        <v>16</v>
      </c>
      <c r="B245" s="1" t="s">
        <v>174</v>
      </c>
      <c r="C245" s="4">
        <v>10</v>
      </c>
      <c r="D245" s="8">
        <v>1.37</v>
      </c>
      <c r="E245" s="4">
        <v>8</v>
      </c>
      <c r="F245" s="8">
        <v>1.75</v>
      </c>
      <c r="G245" s="4">
        <v>2</v>
      </c>
      <c r="H245" s="8">
        <v>0.75</v>
      </c>
      <c r="I245" s="4">
        <v>0</v>
      </c>
    </row>
    <row r="246" spans="1:9" x14ac:dyDescent="0.2">
      <c r="A246" s="2">
        <v>16</v>
      </c>
      <c r="B246" s="1" t="s">
        <v>160</v>
      </c>
      <c r="C246" s="4">
        <v>10</v>
      </c>
      <c r="D246" s="8">
        <v>1.37</v>
      </c>
      <c r="E246" s="4">
        <v>7</v>
      </c>
      <c r="F246" s="8">
        <v>1.53</v>
      </c>
      <c r="G246" s="4">
        <v>3</v>
      </c>
      <c r="H246" s="8">
        <v>1.1299999999999999</v>
      </c>
      <c r="I246" s="4">
        <v>0</v>
      </c>
    </row>
    <row r="247" spans="1:9" x14ac:dyDescent="0.2">
      <c r="A247" s="2">
        <v>16</v>
      </c>
      <c r="B247" s="1" t="s">
        <v>152</v>
      </c>
      <c r="C247" s="4">
        <v>10</v>
      </c>
      <c r="D247" s="8">
        <v>1.37</v>
      </c>
      <c r="E247" s="4">
        <v>8</v>
      </c>
      <c r="F247" s="8">
        <v>1.75</v>
      </c>
      <c r="G247" s="4">
        <v>2</v>
      </c>
      <c r="H247" s="8">
        <v>0.75</v>
      </c>
      <c r="I247" s="4">
        <v>0</v>
      </c>
    </row>
    <row r="248" spans="1:9" x14ac:dyDescent="0.2">
      <c r="A248" s="2">
        <v>20</v>
      </c>
      <c r="B248" s="1" t="s">
        <v>173</v>
      </c>
      <c r="C248" s="4">
        <v>9</v>
      </c>
      <c r="D248" s="8">
        <v>1.23</v>
      </c>
      <c r="E248" s="4">
        <v>8</v>
      </c>
      <c r="F248" s="8">
        <v>1.75</v>
      </c>
      <c r="G248" s="4">
        <v>1</v>
      </c>
      <c r="H248" s="8">
        <v>0.38</v>
      </c>
      <c r="I248" s="4">
        <v>0</v>
      </c>
    </row>
    <row r="249" spans="1:9" x14ac:dyDescent="0.2">
      <c r="A249" s="2">
        <v>20</v>
      </c>
      <c r="B249" s="1" t="s">
        <v>168</v>
      </c>
      <c r="C249" s="4">
        <v>9</v>
      </c>
      <c r="D249" s="8">
        <v>1.23</v>
      </c>
      <c r="E249" s="4">
        <v>1</v>
      </c>
      <c r="F249" s="8">
        <v>0.22</v>
      </c>
      <c r="G249" s="4">
        <v>8</v>
      </c>
      <c r="H249" s="8">
        <v>3.01</v>
      </c>
      <c r="I249" s="4">
        <v>0</v>
      </c>
    </row>
    <row r="250" spans="1:9" x14ac:dyDescent="0.2">
      <c r="A250" s="2">
        <v>20</v>
      </c>
      <c r="B250" s="1" t="s">
        <v>144</v>
      </c>
      <c r="C250" s="4">
        <v>9</v>
      </c>
      <c r="D250" s="8">
        <v>1.23</v>
      </c>
      <c r="E250" s="4">
        <v>3</v>
      </c>
      <c r="F250" s="8">
        <v>0.66</v>
      </c>
      <c r="G250" s="4">
        <v>6</v>
      </c>
      <c r="H250" s="8">
        <v>2.2599999999999998</v>
      </c>
      <c r="I250" s="4">
        <v>0</v>
      </c>
    </row>
    <row r="251" spans="1:9" x14ac:dyDescent="0.2">
      <c r="A251" s="2">
        <v>20</v>
      </c>
      <c r="B251" s="1" t="s">
        <v>170</v>
      </c>
      <c r="C251" s="4">
        <v>9</v>
      </c>
      <c r="D251" s="8">
        <v>1.23</v>
      </c>
      <c r="E251" s="4">
        <v>8</v>
      </c>
      <c r="F251" s="8">
        <v>1.75</v>
      </c>
      <c r="G251" s="4">
        <v>1</v>
      </c>
      <c r="H251" s="8">
        <v>0.38</v>
      </c>
      <c r="I251" s="4">
        <v>0</v>
      </c>
    </row>
    <row r="252" spans="1:9" x14ac:dyDescent="0.2">
      <c r="A252" s="1"/>
      <c r="C252" s="4"/>
      <c r="D252" s="8"/>
      <c r="E252" s="4"/>
      <c r="F252" s="8"/>
      <c r="G252" s="4"/>
      <c r="H252" s="8"/>
      <c r="I252" s="4"/>
    </row>
    <row r="253" spans="1:9" x14ac:dyDescent="0.2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2">
      <c r="A254" s="2">
        <v>1</v>
      </c>
      <c r="B254" s="1" t="s">
        <v>151</v>
      </c>
      <c r="C254" s="4">
        <v>88</v>
      </c>
      <c r="D254" s="8">
        <v>6.69</v>
      </c>
      <c r="E254" s="4">
        <v>82</v>
      </c>
      <c r="F254" s="8">
        <v>11.05</v>
      </c>
      <c r="G254" s="4">
        <v>6</v>
      </c>
      <c r="H254" s="8">
        <v>1.07</v>
      </c>
      <c r="I254" s="4">
        <v>0</v>
      </c>
    </row>
    <row r="255" spans="1:9" x14ac:dyDescent="0.2">
      <c r="A255" s="2">
        <v>2</v>
      </c>
      <c r="B255" s="1" t="s">
        <v>150</v>
      </c>
      <c r="C255" s="4">
        <v>56</v>
      </c>
      <c r="D255" s="8">
        <v>4.26</v>
      </c>
      <c r="E255" s="4">
        <v>51</v>
      </c>
      <c r="F255" s="8">
        <v>6.87</v>
      </c>
      <c r="G255" s="4">
        <v>5</v>
      </c>
      <c r="H255" s="8">
        <v>0.89</v>
      </c>
      <c r="I255" s="4">
        <v>0</v>
      </c>
    </row>
    <row r="256" spans="1:9" x14ac:dyDescent="0.2">
      <c r="A256" s="2">
        <v>3</v>
      </c>
      <c r="B256" s="1" t="s">
        <v>135</v>
      </c>
      <c r="C256" s="4">
        <v>45</v>
      </c>
      <c r="D256" s="8">
        <v>3.42</v>
      </c>
      <c r="E256" s="4">
        <v>5</v>
      </c>
      <c r="F256" s="8">
        <v>0.67</v>
      </c>
      <c r="G256" s="4">
        <v>40</v>
      </c>
      <c r="H256" s="8">
        <v>7.1</v>
      </c>
      <c r="I256" s="4">
        <v>0</v>
      </c>
    </row>
    <row r="257" spans="1:9" x14ac:dyDescent="0.2">
      <c r="A257" s="2">
        <v>3</v>
      </c>
      <c r="B257" s="1" t="s">
        <v>141</v>
      </c>
      <c r="C257" s="4">
        <v>45</v>
      </c>
      <c r="D257" s="8">
        <v>3.42</v>
      </c>
      <c r="E257" s="4">
        <v>29</v>
      </c>
      <c r="F257" s="8">
        <v>3.91</v>
      </c>
      <c r="G257" s="4">
        <v>16</v>
      </c>
      <c r="H257" s="8">
        <v>2.84</v>
      </c>
      <c r="I257" s="4">
        <v>0</v>
      </c>
    </row>
    <row r="258" spans="1:9" x14ac:dyDescent="0.2">
      <c r="A258" s="2">
        <v>5</v>
      </c>
      <c r="B258" s="1" t="s">
        <v>145</v>
      </c>
      <c r="C258" s="4">
        <v>42</v>
      </c>
      <c r="D258" s="8">
        <v>3.19</v>
      </c>
      <c r="E258" s="4">
        <v>23</v>
      </c>
      <c r="F258" s="8">
        <v>3.1</v>
      </c>
      <c r="G258" s="4">
        <v>19</v>
      </c>
      <c r="H258" s="8">
        <v>3.37</v>
      </c>
      <c r="I258" s="4">
        <v>0</v>
      </c>
    </row>
    <row r="259" spans="1:9" x14ac:dyDescent="0.2">
      <c r="A259" s="2">
        <v>6</v>
      </c>
      <c r="B259" s="1" t="s">
        <v>148</v>
      </c>
      <c r="C259" s="4">
        <v>40</v>
      </c>
      <c r="D259" s="8">
        <v>3.04</v>
      </c>
      <c r="E259" s="4">
        <v>39</v>
      </c>
      <c r="F259" s="8">
        <v>5.26</v>
      </c>
      <c r="G259" s="4">
        <v>1</v>
      </c>
      <c r="H259" s="8">
        <v>0.18</v>
      </c>
      <c r="I259" s="4">
        <v>0</v>
      </c>
    </row>
    <row r="260" spans="1:9" x14ac:dyDescent="0.2">
      <c r="A260" s="2">
        <v>7</v>
      </c>
      <c r="B260" s="1" t="s">
        <v>154</v>
      </c>
      <c r="C260" s="4">
        <v>38</v>
      </c>
      <c r="D260" s="8">
        <v>2.89</v>
      </c>
      <c r="E260" s="4">
        <v>32</v>
      </c>
      <c r="F260" s="8">
        <v>4.3099999999999996</v>
      </c>
      <c r="G260" s="4">
        <v>6</v>
      </c>
      <c r="H260" s="8">
        <v>1.07</v>
      </c>
      <c r="I260" s="4">
        <v>0</v>
      </c>
    </row>
    <row r="261" spans="1:9" x14ac:dyDescent="0.2">
      <c r="A261" s="2">
        <v>8</v>
      </c>
      <c r="B261" s="1" t="s">
        <v>137</v>
      </c>
      <c r="C261" s="4">
        <v>34</v>
      </c>
      <c r="D261" s="8">
        <v>2.58</v>
      </c>
      <c r="E261" s="4">
        <v>18</v>
      </c>
      <c r="F261" s="8">
        <v>2.4300000000000002</v>
      </c>
      <c r="G261" s="4">
        <v>16</v>
      </c>
      <c r="H261" s="8">
        <v>2.84</v>
      </c>
      <c r="I261" s="4">
        <v>0</v>
      </c>
    </row>
    <row r="262" spans="1:9" x14ac:dyDescent="0.2">
      <c r="A262" s="2">
        <v>8</v>
      </c>
      <c r="B262" s="1" t="s">
        <v>140</v>
      </c>
      <c r="C262" s="4">
        <v>34</v>
      </c>
      <c r="D262" s="8">
        <v>2.58</v>
      </c>
      <c r="E262" s="4">
        <v>29</v>
      </c>
      <c r="F262" s="8">
        <v>3.91</v>
      </c>
      <c r="G262" s="4">
        <v>5</v>
      </c>
      <c r="H262" s="8">
        <v>0.89</v>
      </c>
      <c r="I262" s="4">
        <v>0</v>
      </c>
    </row>
    <row r="263" spans="1:9" x14ac:dyDescent="0.2">
      <c r="A263" s="2">
        <v>10</v>
      </c>
      <c r="B263" s="1" t="s">
        <v>147</v>
      </c>
      <c r="C263" s="4">
        <v>31</v>
      </c>
      <c r="D263" s="8">
        <v>2.36</v>
      </c>
      <c r="E263" s="4">
        <v>24</v>
      </c>
      <c r="F263" s="8">
        <v>3.23</v>
      </c>
      <c r="G263" s="4">
        <v>7</v>
      </c>
      <c r="H263" s="8">
        <v>1.24</v>
      </c>
      <c r="I263" s="4">
        <v>0</v>
      </c>
    </row>
    <row r="264" spans="1:9" x14ac:dyDescent="0.2">
      <c r="A264" s="2">
        <v>11</v>
      </c>
      <c r="B264" s="1" t="s">
        <v>149</v>
      </c>
      <c r="C264" s="4">
        <v>30</v>
      </c>
      <c r="D264" s="8">
        <v>2.2799999999999998</v>
      </c>
      <c r="E264" s="4">
        <v>28</v>
      </c>
      <c r="F264" s="8">
        <v>3.77</v>
      </c>
      <c r="G264" s="4">
        <v>2</v>
      </c>
      <c r="H264" s="8">
        <v>0.36</v>
      </c>
      <c r="I264" s="4">
        <v>0</v>
      </c>
    </row>
    <row r="265" spans="1:9" x14ac:dyDescent="0.2">
      <c r="A265" s="2">
        <v>12</v>
      </c>
      <c r="B265" s="1" t="s">
        <v>168</v>
      </c>
      <c r="C265" s="4">
        <v>27</v>
      </c>
      <c r="D265" s="8">
        <v>2.0499999999999998</v>
      </c>
      <c r="E265" s="4">
        <v>11</v>
      </c>
      <c r="F265" s="8">
        <v>1.48</v>
      </c>
      <c r="G265" s="4">
        <v>16</v>
      </c>
      <c r="H265" s="8">
        <v>2.84</v>
      </c>
      <c r="I265" s="4">
        <v>0</v>
      </c>
    </row>
    <row r="266" spans="1:9" x14ac:dyDescent="0.2">
      <c r="A266" s="2">
        <v>13</v>
      </c>
      <c r="B266" s="1" t="s">
        <v>142</v>
      </c>
      <c r="C266" s="4">
        <v>25</v>
      </c>
      <c r="D266" s="8">
        <v>1.9</v>
      </c>
      <c r="E266" s="4">
        <v>7</v>
      </c>
      <c r="F266" s="8">
        <v>0.94</v>
      </c>
      <c r="G266" s="4">
        <v>18</v>
      </c>
      <c r="H266" s="8">
        <v>3.2</v>
      </c>
      <c r="I266" s="4">
        <v>0</v>
      </c>
    </row>
    <row r="267" spans="1:9" x14ac:dyDescent="0.2">
      <c r="A267" s="2">
        <v>14</v>
      </c>
      <c r="B267" s="1" t="s">
        <v>143</v>
      </c>
      <c r="C267" s="4">
        <v>24</v>
      </c>
      <c r="D267" s="8">
        <v>1.82</v>
      </c>
      <c r="E267" s="4">
        <v>20</v>
      </c>
      <c r="F267" s="8">
        <v>2.7</v>
      </c>
      <c r="G267" s="4">
        <v>4</v>
      </c>
      <c r="H267" s="8">
        <v>0.71</v>
      </c>
      <c r="I267" s="4">
        <v>0</v>
      </c>
    </row>
    <row r="268" spans="1:9" x14ac:dyDescent="0.2">
      <c r="A268" s="2">
        <v>15</v>
      </c>
      <c r="B268" s="1" t="s">
        <v>139</v>
      </c>
      <c r="C268" s="4">
        <v>22</v>
      </c>
      <c r="D268" s="8">
        <v>1.67</v>
      </c>
      <c r="E268" s="4">
        <v>16</v>
      </c>
      <c r="F268" s="8">
        <v>2.16</v>
      </c>
      <c r="G268" s="4">
        <v>6</v>
      </c>
      <c r="H268" s="8">
        <v>1.07</v>
      </c>
      <c r="I268" s="4">
        <v>0</v>
      </c>
    </row>
    <row r="269" spans="1:9" x14ac:dyDescent="0.2">
      <c r="A269" s="2">
        <v>16</v>
      </c>
      <c r="B269" s="1" t="s">
        <v>138</v>
      </c>
      <c r="C269" s="4">
        <v>21</v>
      </c>
      <c r="D269" s="8">
        <v>1.6</v>
      </c>
      <c r="E269" s="4">
        <v>4</v>
      </c>
      <c r="F269" s="8">
        <v>0.54</v>
      </c>
      <c r="G269" s="4">
        <v>17</v>
      </c>
      <c r="H269" s="8">
        <v>3.02</v>
      </c>
      <c r="I269" s="4">
        <v>0</v>
      </c>
    </row>
    <row r="270" spans="1:9" x14ac:dyDescent="0.2">
      <c r="A270" s="2">
        <v>16</v>
      </c>
      <c r="B270" s="1" t="s">
        <v>167</v>
      </c>
      <c r="C270" s="4">
        <v>21</v>
      </c>
      <c r="D270" s="8">
        <v>1.6</v>
      </c>
      <c r="E270" s="4">
        <v>10</v>
      </c>
      <c r="F270" s="8">
        <v>1.35</v>
      </c>
      <c r="G270" s="4">
        <v>11</v>
      </c>
      <c r="H270" s="8">
        <v>1.95</v>
      </c>
      <c r="I270" s="4">
        <v>0</v>
      </c>
    </row>
    <row r="271" spans="1:9" x14ac:dyDescent="0.2">
      <c r="A271" s="2">
        <v>18</v>
      </c>
      <c r="B271" s="1" t="s">
        <v>146</v>
      </c>
      <c r="C271" s="4">
        <v>19</v>
      </c>
      <c r="D271" s="8">
        <v>1.44</v>
      </c>
      <c r="E271" s="4">
        <v>3</v>
      </c>
      <c r="F271" s="8">
        <v>0.4</v>
      </c>
      <c r="G271" s="4">
        <v>15</v>
      </c>
      <c r="H271" s="8">
        <v>2.66</v>
      </c>
      <c r="I271" s="4">
        <v>0</v>
      </c>
    </row>
    <row r="272" spans="1:9" x14ac:dyDescent="0.2">
      <c r="A272" s="2">
        <v>18</v>
      </c>
      <c r="B272" s="1" t="s">
        <v>153</v>
      </c>
      <c r="C272" s="4">
        <v>19</v>
      </c>
      <c r="D272" s="8">
        <v>1.44</v>
      </c>
      <c r="E272" s="4">
        <v>18</v>
      </c>
      <c r="F272" s="8">
        <v>2.4300000000000002</v>
      </c>
      <c r="G272" s="4">
        <v>1</v>
      </c>
      <c r="H272" s="8">
        <v>0.18</v>
      </c>
      <c r="I272" s="4">
        <v>0</v>
      </c>
    </row>
    <row r="273" spans="1:9" x14ac:dyDescent="0.2">
      <c r="A273" s="2">
        <v>20</v>
      </c>
      <c r="B273" s="1" t="s">
        <v>136</v>
      </c>
      <c r="C273" s="4">
        <v>16</v>
      </c>
      <c r="D273" s="8">
        <v>1.22</v>
      </c>
      <c r="E273" s="4">
        <v>4</v>
      </c>
      <c r="F273" s="8">
        <v>0.54</v>
      </c>
      <c r="G273" s="4">
        <v>12</v>
      </c>
      <c r="H273" s="8">
        <v>2.13</v>
      </c>
      <c r="I273" s="4">
        <v>0</v>
      </c>
    </row>
    <row r="274" spans="1:9" x14ac:dyDescent="0.2">
      <c r="A274" s="2">
        <v>20</v>
      </c>
      <c r="B274" s="1" t="s">
        <v>164</v>
      </c>
      <c r="C274" s="4">
        <v>16</v>
      </c>
      <c r="D274" s="8">
        <v>1.22</v>
      </c>
      <c r="E274" s="4">
        <v>6</v>
      </c>
      <c r="F274" s="8">
        <v>0.81</v>
      </c>
      <c r="G274" s="4">
        <v>10</v>
      </c>
      <c r="H274" s="8">
        <v>1.78</v>
      </c>
      <c r="I274" s="4">
        <v>0</v>
      </c>
    </row>
    <row r="275" spans="1:9" x14ac:dyDescent="0.2">
      <c r="A275" s="1"/>
      <c r="C275" s="4"/>
      <c r="D275" s="8"/>
      <c r="E275" s="4"/>
      <c r="F275" s="8"/>
      <c r="G275" s="4"/>
      <c r="H275" s="8"/>
      <c r="I275" s="4"/>
    </row>
    <row r="276" spans="1:9" x14ac:dyDescent="0.2">
      <c r="A276" s="1" t="s">
        <v>12</v>
      </c>
      <c r="C276" s="4"/>
      <c r="D276" s="8"/>
      <c r="E276" s="4"/>
      <c r="F276" s="8"/>
      <c r="G276" s="4"/>
      <c r="H276" s="8"/>
      <c r="I276" s="4"/>
    </row>
    <row r="277" spans="1:9" x14ac:dyDescent="0.2">
      <c r="A277" s="2">
        <v>1</v>
      </c>
      <c r="B277" s="1" t="s">
        <v>151</v>
      </c>
      <c r="C277" s="4">
        <v>84</v>
      </c>
      <c r="D277" s="8">
        <v>6.81</v>
      </c>
      <c r="E277" s="4">
        <v>79</v>
      </c>
      <c r="F277" s="8">
        <v>10.31</v>
      </c>
      <c r="G277" s="4">
        <v>5</v>
      </c>
      <c r="H277" s="8">
        <v>1.1499999999999999</v>
      </c>
      <c r="I277" s="4">
        <v>0</v>
      </c>
    </row>
    <row r="278" spans="1:9" x14ac:dyDescent="0.2">
      <c r="A278" s="2">
        <v>2</v>
      </c>
      <c r="B278" s="1" t="s">
        <v>149</v>
      </c>
      <c r="C278" s="4">
        <v>67</v>
      </c>
      <c r="D278" s="8">
        <v>5.43</v>
      </c>
      <c r="E278" s="4">
        <v>66</v>
      </c>
      <c r="F278" s="8">
        <v>8.6199999999999992</v>
      </c>
      <c r="G278" s="4">
        <v>1</v>
      </c>
      <c r="H278" s="8">
        <v>0.23</v>
      </c>
      <c r="I278" s="4">
        <v>0</v>
      </c>
    </row>
    <row r="279" spans="1:9" x14ac:dyDescent="0.2">
      <c r="A279" s="2">
        <v>3</v>
      </c>
      <c r="B279" s="1" t="s">
        <v>150</v>
      </c>
      <c r="C279" s="4">
        <v>50</v>
      </c>
      <c r="D279" s="8">
        <v>4.05</v>
      </c>
      <c r="E279" s="4">
        <v>48</v>
      </c>
      <c r="F279" s="8">
        <v>6.27</v>
      </c>
      <c r="G279" s="4">
        <v>2</v>
      </c>
      <c r="H279" s="8">
        <v>0.46</v>
      </c>
      <c r="I279" s="4">
        <v>0</v>
      </c>
    </row>
    <row r="280" spans="1:9" x14ac:dyDescent="0.2">
      <c r="A280" s="2">
        <v>4</v>
      </c>
      <c r="B280" s="1" t="s">
        <v>135</v>
      </c>
      <c r="C280" s="4">
        <v>49</v>
      </c>
      <c r="D280" s="8">
        <v>3.97</v>
      </c>
      <c r="E280" s="4">
        <v>7</v>
      </c>
      <c r="F280" s="8">
        <v>0.91</v>
      </c>
      <c r="G280" s="4">
        <v>42</v>
      </c>
      <c r="H280" s="8">
        <v>9.6999999999999993</v>
      </c>
      <c r="I280" s="4">
        <v>0</v>
      </c>
    </row>
    <row r="281" spans="1:9" x14ac:dyDescent="0.2">
      <c r="A281" s="2">
        <v>5</v>
      </c>
      <c r="B281" s="1" t="s">
        <v>154</v>
      </c>
      <c r="C281" s="4">
        <v>41</v>
      </c>
      <c r="D281" s="8">
        <v>3.32</v>
      </c>
      <c r="E281" s="4">
        <v>36</v>
      </c>
      <c r="F281" s="8">
        <v>4.7</v>
      </c>
      <c r="G281" s="4">
        <v>5</v>
      </c>
      <c r="H281" s="8">
        <v>1.1499999999999999</v>
      </c>
      <c r="I281" s="4">
        <v>0</v>
      </c>
    </row>
    <row r="282" spans="1:9" x14ac:dyDescent="0.2">
      <c r="A282" s="2">
        <v>6</v>
      </c>
      <c r="B282" s="1" t="s">
        <v>141</v>
      </c>
      <c r="C282" s="4">
        <v>38</v>
      </c>
      <c r="D282" s="8">
        <v>3.08</v>
      </c>
      <c r="E282" s="4">
        <v>26</v>
      </c>
      <c r="F282" s="8">
        <v>3.39</v>
      </c>
      <c r="G282" s="4">
        <v>12</v>
      </c>
      <c r="H282" s="8">
        <v>2.77</v>
      </c>
      <c r="I282" s="4">
        <v>0</v>
      </c>
    </row>
    <row r="283" spans="1:9" x14ac:dyDescent="0.2">
      <c r="A283" s="2">
        <v>7</v>
      </c>
      <c r="B283" s="1" t="s">
        <v>153</v>
      </c>
      <c r="C283" s="4">
        <v>35</v>
      </c>
      <c r="D283" s="8">
        <v>2.84</v>
      </c>
      <c r="E283" s="4">
        <v>34</v>
      </c>
      <c r="F283" s="8">
        <v>4.4400000000000004</v>
      </c>
      <c r="G283" s="4">
        <v>1</v>
      </c>
      <c r="H283" s="8">
        <v>0.23</v>
      </c>
      <c r="I283" s="4">
        <v>0</v>
      </c>
    </row>
    <row r="284" spans="1:9" x14ac:dyDescent="0.2">
      <c r="A284" s="2">
        <v>8</v>
      </c>
      <c r="B284" s="1" t="s">
        <v>147</v>
      </c>
      <c r="C284" s="4">
        <v>34</v>
      </c>
      <c r="D284" s="8">
        <v>2.76</v>
      </c>
      <c r="E284" s="4">
        <v>30</v>
      </c>
      <c r="F284" s="8">
        <v>3.92</v>
      </c>
      <c r="G284" s="4">
        <v>4</v>
      </c>
      <c r="H284" s="8">
        <v>0.92</v>
      </c>
      <c r="I284" s="4">
        <v>0</v>
      </c>
    </row>
    <row r="285" spans="1:9" x14ac:dyDescent="0.2">
      <c r="A285" s="2">
        <v>8</v>
      </c>
      <c r="B285" s="1" t="s">
        <v>148</v>
      </c>
      <c r="C285" s="4">
        <v>34</v>
      </c>
      <c r="D285" s="8">
        <v>2.76</v>
      </c>
      <c r="E285" s="4">
        <v>33</v>
      </c>
      <c r="F285" s="8">
        <v>4.3099999999999996</v>
      </c>
      <c r="G285" s="4">
        <v>1</v>
      </c>
      <c r="H285" s="8">
        <v>0.23</v>
      </c>
      <c r="I285" s="4">
        <v>0</v>
      </c>
    </row>
    <row r="286" spans="1:9" x14ac:dyDescent="0.2">
      <c r="A286" s="2">
        <v>10</v>
      </c>
      <c r="B286" s="1" t="s">
        <v>166</v>
      </c>
      <c r="C286" s="4">
        <v>30</v>
      </c>
      <c r="D286" s="8">
        <v>2.4300000000000002</v>
      </c>
      <c r="E286" s="4">
        <v>22</v>
      </c>
      <c r="F286" s="8">
        <v>2.87</v>
      </c>
      <c r="G286" s="4">
        <v>8</v>
      </c>
      <c r="H286" s="8">
        <v>1.85</v>
      </c>
      <c r="I286" s="4">
        <v>0</v>
      </c>
    </row>
    <row r="287" spans="1:9" x14ac:dyDescent="0.2">
      <c r="A287" s="2">
        <v>11</v>
      </c>
      <c r="B287" s="1" t="s">
        <v>143</v>
      </c>
      <c r="C287" s="4">
        <v>26</v>
      </c>
      <c r="D287" s="8">
        <v>2.11</v>
      </c>
      <c r="E287" s="4">
        <v>21</v>
      </c>
      <c r="F287" s="8">
        <v>2.74</v>
      </c>
      <c r="G287" s="4">
        <v>5</v>
      </c>
      <c r="H287" s="8">
        <v>1.1499999999999999</v>
      </c>
      <c r="I287" s="4">
        <v>0</v>
      </c>
    </row>
    <row r="288" spans="1:9" x14ac:dyDescent="0.2">
      <c r="A288" s="2">
        <v>12</v>
      </c>
      <c r="B288" s="1" t="s">
        <v>140</v>
      </c>
      <c r="C288" s="4">
        <v>24</v>
      </c>
      <c r="D288" s="8">
        <v>1.94</v>
      </c>
      <c r="E288" s="4">
        <v>16</v>
      </c>
      <c r="F288" s="8">
        <v>2.09</v>
      </c>
      <c r="G288" s="4">
        <v>8</v>
      </c>
      <c r="H288" s="8">
        <v>1.85</v>
      </c>
      <c r="I288" s="4">
        <v>0</v>
      </c>
    </row>
    <row r="289" spans="1:9" x14ac:dyDescent="0.2">
      <c r="A289" s="2">
        <v>13</v>
      </c>
      <c r="B289" s="1" t="s">
        <v>139</v>
      </c>
      <c r="C289" s="4">
        <v>20</v>
      </c>
      <c r="D289" s="8">
        <v>1.62</v>
      </c>
      <c r="E289" s="4">
        <v>12</v>
      </c>
      <c r="F289" s="8">
        <v>1.57</v>
      </c>
      <c r="G289" s="4">
        <v>8</v>
      </c>
      <c r="H289" s="8">
        <v>1.85</v>
      </c>
      <c r="I289" s="4">
        <v>0</v>
      </c>
    </row>
    <row r="290" spans="1:9" x14ac:dyDescent="0.2">
      <c r="A290" s="2">
        <v>14</v>
      </c>
      <c r="B290" s="1" t="s">
        <v>142</v>
      </c>
      <c r="C290" s="4">
        <v>19</v>
      </c>
      <c r="D290" s="8">
        <v>1.54</v>
      </c>
      <c r="E290" s="4">
        <v>5</v>
      </c>
      <c r="F290" s="8">
        <v>0.65</v>
      </c>
      <c r="G290" s="4">
        <v>14</v>
      </c>
      <c r="H290" s="8">
        <v>3.23</v>
      </c>
      <c r="I290" s="4">
        <v>0</v>
      </c>
    </row>
    <row r="291" spans="1:9" x14ac:dyDescent="0.2">
      <c r="A291" s="2">
        <v>15</v>
      </c>
      <c r="B291" s="1" t="s">
        <v>136</v>
      </c>
      <c r="C291" s="4">
        <v>17</v>
      </c>
      <c r="D291" s="8">
        <v>1.38</v>
      </c>
      <c r="E291" s="4">
        <v>2</v>
      </c>
      <c r="F291" s="8">
        <v>0.26</v>
      </c>
      <c r="G291" s="4">
        <v>15</v>
      </c>
      <c r="H291" s="8">
        <v>3.46</v>
      </c>
      <c r="I291" s="4">
        <v>0</v>
      </c>
    </row>
    <row r="292" spans="1:9" x14ac:dyDescent="0.2">
      <c r="A292" s="2">
        <v>15</v>
      </c>
      <c r="B292" s="1" t="s">
        <v>137</v>
      </c>
      <c r="C292" s="4">
        <v>17</v>
      </c>
      <c r="D292" s="8">
        <v>1.38</v>
      </c>
      <c r="E292" s="4">
        <v>6</v>
      </c>
      <c r="F292" s="8">
        <v>0.78</v>
      </c>
      <c r="G292" s="4">
        <v>11</v>
      </c>
      <c r="H292" s="8">
        <v>2.54</v>
      </c>
      <c r="I292" s="4">
        <v>0</v>
      </c>
    </row>
    <row r="293" spans="1:9" x14ac:dyDescent="0.2">
      <c r="A293" s="2">
        <v>15</v>
      </c>
      <c r="B293" s="1" t="s">
        <v>168</v>
      </c>
      <c r="C293" s="4">
        <v>17</v>
      </c>
      <c r="D293" s="8">
        <v>1.38</v>
      </c>
      <c r="E293" s="4">
        <v>6</v>
      </c>
      <c r="F293" s="8">
        <v>0.78</v>
      </c>
      <c r="G293" s="4">
        <v>11</v>
      </c>
      <c r="H293" s="8">
        <v>2.54</v>
      </c>
      <c r="I293" s="4">
        <v>0</v>
      </c>
    </row>
    <row r="294" spans="1:9" x14ac:dyDescent="0.2">
      <c r="A294" s="2">
        <v>15</v>
      </c>
      <c r="B294" s="1" t="s">
        <v>170</v>
      </c>
      <c r="C294" s="4">
        <v>17</v>
      </c>
      <c r="D294" s="8">
        <v>1.38</v>
      </c>
      <c r="E294" s="4">
        <v>15</v>
      </c>
      <c r="F294" s="8">
        <v>1.96</v>
      </c>
      <c r="G294" s="4">
        <v>2</v>
      </c>
      <c r="H294" s="8">
        <v>0.46</v>
      </c>
      <c r="I294" s="4">
        <v>0</v>
      </c>
    </row>
    <row r="295" spans="1:9" x14ac:dyDescent="0.2">
      <c r="A295" s="2">
        <v>15</v>
      </c>
      <c r="B295" s="1" t="s">
        <v>159</v>
      </c>
      <c r="C295" s="4">
        <v>17</v>
      </c>
      <c r="D295" s="8">
        <v>1.38</v>
      </c>
      <c r="E295" s="4">
        <v>14</v>
      </c>
      <c r="F295" s="8">
        <v>1.83</v>
      </c>
      <c r="G295" s="4">
        <v>3</v>
      </c>
      <c r="H295" s="8">
        <v>0.69</v>
      </c>
      <c r="I295" s="4">
        <v>0</v>
      </c>
    </row>
    <row r="296" spans="1:9" x14ac:dyDescent="0.2">
      <c r="A296" s="2">
        <v>20</v>
      </c>
      <c r="B296" s="1" t="s">
        <v>138</v>
      </c>
      <c r="C296" s="4">
        <v>16</v>
      </c>
      <c r="D296" s="8">
        <v>1.3</v>
      </c>
      <c r="E296" s="4">
        <v>8</v>
      </c>
      <c r="F296" s="8">
        <v>1.04</v>
      </c>
      <c r="G296" s="4">
        <v>8</v>
      </c>
      <c r="H296" s="8">
        <v>1.85</v>
      </c>
      <c r="I296" s="4">
        <v>0</v>
      </c>
    </row>
    <row r="297" spans="1:9" x14ac:dyDescent="0.2">
      <c r="A297" s="2">
        <v>20</v>
      </c>
      <c r="B297" s="1" t="s">
        <v>167</v>
      </c>
      <c r="C297" s="4">
        <v>16</v>
      </c>
      <c r="D297" s="8">
        <v>1.3</v>
      </c>
      <c r="E297" s="4">
        <v>13</v>
      </c>
      <c r="F297" s="8">
        <v>1.7</v>
      </c>
      <c r="G297" s="4">
        <v>3</v>
      </c>
      <c r="H297" s="8">
        <v>0.69</v>
      </c>
      <c r="I297" s="4">
        <v>0</v>
      </c>
    </row>
    <row r="298" spans="1:9" x14ac:dyDescent="0.2">
      <c r="A298" s="1"/>
      <c r="C298" s="4"/>
      <c r="D298" s="8"/>
      <c r="E298" s="4"/>
      <c r="F298" s="8"/>
      <c r="G298" s="4"/>
      <c r="H298" s="8"/>
      <c r="I298" s="4"/>
    </row>
    <row r="299" spans="1:9" x14ac:dyDescent="0.2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2">
      <c r="A300" s="2">
        <v>1</v>
      </c>
      <c r="B300" s="1" t="s">
        <v>151</v>
      </c>
      <c r="C300" s="4">
        <v>56</v>
      </c>
      <c r="D300" s="8">
        <v>5.23</v>
      </c>
      <c r="E300" s="4">
        <v>52</v>
      </c>
      <c r="F300" s="8">
        <v>9.01</v>
      </c>
      <c r="G300" s="4">
        <v>4</v>
      </c>
      <c r="H300" s="8">
        <v>0.83</v>
      </c>
      <c r="I300" s="4">
        <v>0</v>
      </c>
    </row>
    <row r="301" spans="1:9" x14ac:dyDescent="0.2">
      <c r="A301" s="2">
        <v>2</v>
      </c>
      <c r="B301" s="1" t="s">
        <v>149</v>
      </c>
      <c r="C301" s="4">
        <v>48</v>
      </c>
      <c r="D301" s="8">
        <v>4.49</v>
      </c>
      <c r="E301" s="4">
        <v>45</v>
      </c>
      <c r="F301" s="8">
        <v>7.8</v>
      </c>
      <c r="G301" s="4">
        <v>3</v>
      </c>
      <c r="H301" s="8">
        <v>0.63</v>
      </c>
      <c r="I301" s="4">
        <v>0</v>
      </c>
    </row>
    <row r="302" spans="1:9" x14ac:dyDescent="0.2">
      <c r="A302" s="2">
        <v>3</v>
      </c>
      <c r="B302" s="1" t="s">
        <v>150</v>
      </c>
      <c r="C302" s="4">
        <v>41</v>
      </c>
      <c r="D302" s="8">
        <v>3.83</v>
      </c>
      <c r="E302" s="4">
        <v>41</v>
      </c>
      <c r="F302" s="8">
        <v>7.11</v>
      </c>
      <c r="G302" s="4">
        <v>0</v>
      </c>
      <c r="H302" s="8">
        <v>0</v>
      </c>
      <c r="I302" s="4">
        <v>0</v>
      </c>
    </row>
    <row r="303" spans="1:9" x14ac:dyDescent="0.2">
      <c r="A303" s="2">
        <v>4</v>
      </c>
      <c r="B303" s="1" t="s">
        <v>135</v>
      </c>
      <c r="C303" s="4">
        <v>40</v>
      </c>
      <c r="D303" s="8">
        <v>3.74</v>
      </c>
      <c r="E303" s="4">
        <v>5</v>
      </c>
      <c r="F303" s="8">
        <v>0.87</v>
      </c>
      <c r="G303" s="4">
        <v>35</v>
      </c>
      <c r="H303" s="8">
        <v>7.29</v>
      </c>
      <c r="I303" s="4">
        <v>0</v>
      </c>
    </row>
    <row r="304" spans="1:9" x14ac:dyDescent="0.2">
      <c r="A304" s="2">
        <v>5</v>
      </c>
      <c r="B304" s="1" t="s">
        <v>140</v>
      </c>
      <c r="C304" s="4">
        <v>32</v>
      </c>
      <c r="D304" s="8">
        <v>2.99</v>
      </c>
      <c r="E304" s="4">
        <v>25</v>
      </c>
      <c r="F304" s="8">
        <v>4.33</v>
      </c>
      <c r="G304" s="4">
        <v>6</v>
      </c>
      <c r="H304" s="8">
        <v>1.25</v>
      </c>
      <c r="I304" s="4">
        <v>1</v>
      </c>
    </row>
    <row r="305" spans="1:9" x14ac:dyDescent="0.2">
      <c r="A305" s="2">
        <v>5</v>
      </c>
      <c r="B305" s="1" t="s">
        <v>141</v>
      </c>
      <c r="C305" s="4">
        <v>32</v>
      </c>
      <c r="D305" s="8">
        <v>2.99</v>
      </c>
      <c r="E305" s="4">
        <v>18</v>
      </c>
      <c r="F305" s="8">
        <v>3.12</v>
      </c>
      <c r="G305" s="4">
        <v>14</v>
      </c>
      <c r="H305" s="8">
        <v>2.92</v>
      </c>
      <c r="I305" s="4">
        <v>0</v>
      </c>
    </row>
    <row r="306" spans="1:9" x14ac:dyDescent="0.2">
      <c r="A306" s="2">
        <v>7</v>
      </c>
      <c r="B306" s="1" t="s">
        <v>137</v>
      </c>
      <c r="C306" s="4">
        <v>30</v>
      </c>
      <c r="D306" s="8">
        <v>2.8</v>
      </c>
      <c r="E306" s="4">
        <v>12</v>
      </c>
      <c r="F306" s="8">
        <v>2.08</v>
      </c>
      <c r="G306" s="4">
        <v>18</v>
      </c>
      <c r="H306" s="8">
        <v>3.75</v>
      </c>
      <c r="I306" s="4">
        <v>0</v>
      </c>
    </row>
    <row r="307" spans="1:9" x14ac:dyDescent="0.2">
      <c r="A307" s="2">
        <v>8</v>
      </c>
      <c r="B307" s="1" t="s">
        <v>148</v>
      </c>
      <c r="C307" s="4">
        <v>29</v>
      </c>
      <c r="D307" s="8">
        <v>2.71</v>
      </c>
      <c r="E307" s="4">
        <v>27</v>
      </c>
      <c r="F307" s="8">
        <v>4.68</v>
      </c>
      <c r="G307" s="4">
        <v>2</v>
      </c>
      <c r="H307" s="8">
        <v>0.42</v>
      </c>
      <c r="I307" s="4">
        <v>0</v>
      </c>
    </row>
    <row r="308" spans="1:9" x14ac:dyDescent="0.2">
      <c r="A308" s="2">
        <v>9</v>
      </c>
      <c r="B308" s="1" t="s">
        <v>147</v>
      </c>
      <c r="C308" s="4">
        <v>26</v>
      </c>
      <c r="D308" s="8">
        <v>2.4300000000000002</v>
      </c>
      <c r="E308" s="4">
        <v>24</v>
      </c>
      <c r="F308" s="8">
        <v>4.16</v>
      </c>
      <c r="G308" s="4">
        <v>2</v>
      </c>
      <c r="H308" s="8">
        <v>0.42</v>
      </c>
      <c r="I308" s="4">
        <v>0</v>
      </c>
    </row>
    <row r="309" spans="1:9" x14ac:dyDescent="0.2">
      <c r="A309" s="2">
        <v>10</v>
      </c>
      <c r="B309" s="1" t="s">
        <v>154</v>
      </c>
      <c r="C309" s="4">
        <v>25</v>
      </c>
      <c r="D309" s="8">
        <v>2.34</v>
      </c>
      <c r="E309" s="4">
        <v>20</v>
      </c>
      <c r="F309" s="8">
        <v>3.47</v>
      </c>
      <c r="G309" s="4">
        <v>5</v>
      </c>
      <c r="H309" s="8">
        <v>1.04</v>
      </c>
      <c r="I309" s="4">
        <v>0</v>
      </c>
    </row>
    <row r="310" spans="1:9" x14ac:dyDescent="0.2">
      <c r="A310" s="2">
        <v>11</v>
      </c>
      <c r="B310" s="1" t="s">
        <v>153</v>
      </c>
      <c r="C310" s="4">
        <v>22</v>
      </c>
      <c r="D310" s="8">
        <v>2.06</v>
      </c>
      <c r="E310" s="4">
        <v>22</v>
      </c>
      <c r="F310" s="8">
        <v>3.81</v>
      </c>
      <c r="G310" s="4">
        <v>0</v>
      </c>
      <c r="H310" s="8">
        <v>0</v>
      </c>
      <c r="I310" s="4">
        <v>0</v>
      </c>
    </row>
    <row r="311" spans="1:9" x14ac:dyDescent="0.2">
      <c r="A311" s="2">
        <v>12</v>
      </c>
      <c r="B311" s="1" t="s">
        <v>152</v>
      </c>
      <c r="C311" s="4">
        <v>21</v>
      </c>
      <c r="D311" s="8">
        <v>1.96</v>
      </c>
      <c r="E311" s="4">
        <v>17</v>
      </c>
      <c r="F311" s="8">
        <v>2.95</v>
      </c>
      <c r="G311" s="4">
        <v>4</v>
      </c>
      <c r="H311" s="8">
        <v>0.83</v>
      </c>
      <c r="I311" s="4">
        <v>0</v>
      </c>
    </row>
    <row r="312" spans="1:9" x14ac:dyDescent="0.2">
      <c r="A312" s="2">
        <v>13</v>
      </c>
      <c r="B312" s="1" t="s">
        <v>136</v>
      </c>
      <c r="C312" s="4">
        <v>20</v>
      </c>
      <c r="D312" s="8">
        <v>1.87</v>
      </c>
      <c r="E312" s="4">
        <v>6</v>
      </c>
      <c r="F312" s="8">
        <v>1.04</v>
      </c>
      <c r="G312" s="4">
        <v>14</v>
      </c>
      <c r="H312" s="8">
        <v>2.92</v>
      </c>
      <c r="I312" s="4">
        <v>0</v>
      </c>
    </row>
    <row r="313" spans="1:9" x14ac:dyDescent="0.2">
      <c r="A313" s="2">
        <v>13</v>
      </c>
      <c r="B313" s="1" t="s">
        <v>145</v>
      </c>
      <c r="C313" s="4">
        <v>20</v>
      </c>
      <c r="D313" s="8">
        <v>1.87</v>
      </c>
      <c r="E313" s="4">
        <v>9</v>
      </c>
      <c r="F313" s="8">
        <v>1.56</v>
      </c>
      <c r="G313" s="4">
        <v>11</v>
      </c>
      <c r="H313" s="8">
        <v>2.29</v>
      </c>
      <c r="I313" s="4">
        <v>0</v>
      </c>
    </row>
    <row r="314" spans="1:9" x14ac:dyDescent="0.2">
      <c r="A314" s="2">
        <v>15</v>
      </c>
      <c r="B314" s="1" t="s">
        <v>138</v>
      </c>
      <c r="C314" s="4">
        <v>17</v>
      </c>
      <c r="D314" s="8">
        <v>1.59</v>
      </c>
      <c r="E314" s="4">
        <v>6</v>
      </c>
      <c r="F314" s="8">
        <v>1.04</v>
      </c>
      <c r="G314" s="4">
        <v>11</v>
      </c>
      <c r="H314" s="8">
        <v>2.29</v>
      </c>
      <c r="I314" s="4">
        <v>0</v>
      </c>
    </row>
    <row r="315" spans="1:9" x14ac:dyDescent="0.2">
      <c r="A315" s="2">
        <v>16</v>
      </c>
      <c r="B315" s="1" t="s">
        <v>166</v>
      </c>
      <c r="C315" s="4">
        <v>16</v>
      </c>
      <c r="D315" s="8">
        <v>1.5</v>
      </c>
      <c r="E315" s="4">
        <v>12</v>
      </c>
      <c r="F315" s="8">
        <v>2.08</v>
      </c>
      <c r="G315" s="4">
        <v>4</v>
      </c>
      <c r="H315" s="8">
        <v>0.83</v>
      </c>
      <c r="I315" s="4">
        <v>0</v>
      </c>
    </row>
    <row r="316" spans="1:9" x14ac:dyDescent="0.2">
      <c r="A316" s="2">
        <v>17</v>
      </c>
      <c r="B316" s="1" t="s">
        <v>167</v>
      </c>
      <c r="C316" s="4">
        <v>15</v>
      </c>
      <c r="D316" s="8">
        <v>1.4</v>
      </c>
      <c r="E316" s="4">
        <v>8</v>
      </c>
      <c r="F316" s="8">
        <v>1.39</v>
      </c>
      <c r="G316" s="4">
        <v>7</v>
      </c>
      <c r="H316" s="8">
        <v>1.46</v>
      </c>
      <c r="I316" s="4">
        <v>0</v>
      </c>
    </row>
    <row r="317" spans="1:9" x14ac:dyDescent="0.2">
      <c r="A317" s="2">
        <v>17</v>
      </c>
      <c r="B317" s="1" t="s">
        <v>142</v>
      </c>
      <c r="C317" s="4">
        <v>15</v>
      </c>
      <c r="D317" s="8">
        <v>1.4</v>
      </c>
      <c r="E317" s="4">
        <v>3</v>
      </c>
      <c r="F317" s="8">
        <v>0.52</v>
      </c>
      <c r="G317" s="4">
        <v>12</v>
      </c>
      <c r="H317" s="8">
        <v>2.5</v>
      </c>
      <c r="I317" s="4">
        <v>0</v>
      </c>
    </row>
    <row r="318" spans="1:9" x14ac:dyDescent="0.2">
      <c r="A318" s="2">
        <v>19</v>
      </c>
      <c r="B318" s="1" t="s">
        <v>175</v>
      </c>
      <c r="C318" s="4">
        <v>14</v>
      </c>
      <c r="D318" s="8">
        <v>1.31</v>
      </c>
      <c r="E318" s="4">
        <v>7</v>
      </c>
      <c r="F318" s="8">
        <v>1.21</v>
      </c>
      <c r="G318" s="4">
        <v>7</v>
      </c>
      <c r="H318" s="8">
        <v>1.46</v>
      </c>
      <c r="I318" s="4">
        <v>0</v>
      </c>
    </row>
    <row r="319" spans="1:9" x14ac:dyDescent="0.2">
      <c r="A319" s="2">
        <v>19</v>
      </c>
      <c r="B319" s="1" t="s">
        <v>168</v>
      </c>
      <c r="C319" s="4">
        <v>14</v>
      </c>
      <c r="D319" s="8">
        <v>1.31</v>
      </c>
      <c r="E319" s="4">
        <v>4</v>
      </c>
      <c r="F319" s="8">
        <v>0.69</v>
      </c>
      <c r="G319" s="4">
        <v>10</v>
      </c>
      <c r="H319" s="8">
        <v>2.08</v>
      </c>
      <c r="I319" s="4">
        <v>0</v>
      </c>
    </row>
    <row r="320" spans="1:9" x14ac:dyDescent="0.2">
      <c r="A320" s="2">
        <v>19</v>
      </c>
      <c r="B320" s="1" t="s">
        <v>170</v>
      </c>
      <c r="C320" s="4">
        <v>14</v>
      </c>
      <c r="D320" s="8">
        <v>1.31</v>
      </c>
      <c r="E320" s="4">
        <v>8</v>
      </c>
      <c r="F320" s="8">
        <v>1.39</v>
      </c>
      <c r="G320" s="4">
        <v>6</v>
      </c>
      <c r="H320" s="8">
        <v>1.25</v>
      </c>
      <c r="I320" s="4">
        <v>0</v>
      </c>
    </row>
    <row r="321" spans="1:9" x14ac:dyDescent="0.2">
      <c r="A321" s="2">
        <v>19</v>
      </c>
      <c r="B321" s="1" t="s">
        <v>176</v>
      </c>
      <c r="C321" s="4">
        <v>14</v>
      </c>
      <c r="D321" s="8">
        <v>1.31</v>
      </c>
      <c r="E321" s="4">
        <v>0</v>
      </c>
      <c r="F321" s="8">
        <v>0</v>
      </c>
      <c r="G321" s="4">
        <v>14</v>
      </c>
      <c r="H321" s="8">
        <v>2.92</v>
      </c>
      <c r="I321" s="4">
        <v>0</v>
      </c>
    </row>
    <row r="322" spans="1:9" x14ac:dyDescent="0.2">
      <c r="A322" s="1"/>
      <c r="C322" s="4"/>
      <c r="D322" s="8"/>
      <c r="E322" s="4"/>
      <c r="F322" s="8"/>
      <c r="G322" s="4"/>
      <c r="H322" s="8"/>
      <c r="I322" s="4"/>
    </row>
    <row r="323" spans="1:9" x14ac:dyDescent="0.2">
      <c r="A323" s="1" t="s">
        <v>14</v>
      </c>
      <c r="C323" s="4"/>
      <c r="D323" s="8"/>
      <c r="E323" s="4"/>
      <c r="F323" s="8"/>
      <c r="G323" s="4"/>
      <c r="H323" s="8"/>
      <c r="I323" s="4"/>
    </row>
    <row r="324" spans="1:9" x14ac:dyDescent="0.2">
      <c r="A324" s="2">
        <v>1</v>
      </c>
      <c r="B324" s="1" t="s">
        <v>151</v>
      </c>
      <c r="C324" s="4">
        <v>49</v>
      </c>
      <c r="D324" s="8">
        <v>6.41</v>
      </c>
      <c r="E324" s="4">
        <v>42</v>
      </c>
      <c r="F324" s="8">
        <v>10.85</v>
      </c>
      <c r="G324" s="4">
        <v>7</v>
      </c>
      <c r="H324" s="8">
        <v>1.88</v>
      </c>
      <c r="I324" s="4">
        <v>0</v>
      </c>
    </row>
    <row r="325" spans="1:9" x14ac:dyDescent="0.2">
      <c r="A325" s="2">
        <v>2</v>
      </c>
      <c r="B325" s="1" t="s">
        <v>150</v>
      </c>
      <c r="C325" s="4">
        <v>31</v>
      </c>
      <c r="D325" s="8">
        <v>4.0599999999999996</v>
      </c>
      <c r="E325" s="4">
        <v>29</v>
      </c>
      <c r="F325" s="8">
        <v>7.49</v>
      </c>
      <c r="G325" s="4">
        <v>2</v>
      </c>
      <c r="H325" s="8">
        <v>0.54</v>
      </c>
      <c r="I325" s="4">
        <v>0</v>
      </c>
    </row>
    <row r="326" spans="1:9" x14ac:dyDescent="0.2">
      <c r="A326" s="2">
        <v>3</v>
      </c>
      <c r="B326" s="1" t="s">
        <v>135</v>
      </c>
      <c r="C326" s="4">
        <v>25</v>
      </c>
      <c r="D326" s="8">
        <v>3.27</v>
      </c>
      <c r="E326" s="4">
        <v>2</v>
      </c>
      <c r="F326" s="8">
        <v>0.52</v>
      </c>
      <c r="G326" s="4">
        <v>23</v>
      </c>
      <c r="H326" s="8">
        <v>6.17</v>
      </c>
      <c r="I326" s="4">
        <v>0</v>
      </c>
    </row>
    <row r="327" spans="1:9" x14ac:dyDescent="0.2">
      <c r="A327" s="2">
        <v>4</v>
      </c>
      <c r="B327" s="1" t="s">
        <v>140</v>
      </c>
      <c r="C327" s="4">
        <v>20</v>
      </c>
      <c r="D327" s="8">
        <v>2.62</v>
      </c>
      <c r="E327" s="4">
        <v>14</v>
      </c>
      <c r="F327" s="8">
        <v>3.62</v>
      </c>
      <c r="G327" s="4">
        <v>6</v>
      </c>
      <c r="H327" s="8">
        <v>1.61</v>
      </c>
      <c r="I327" s="4">
        <v>0</v>
      </c>
    </row>
    <row r="328" spans="1:9" x14ac:dyDescent="0.2">
      <c r="A328" s="2">
        <v>4</v>
      </c>
      <c r="B328" s="1" t="s">
        <v>153</v>
      </c>
      <c r="C328" s="4">
        <v>20</v>
      </c>
      <c r="D328" s="8">
        <v>2.62</v>
      </c>
      <c r="E328" s="4">
        <v>19</v>
      </c>
      <c r="F328" s="8">
        <v>4.91</v>
      </c>
      <c r="G328" s="4">
        <v>1</v>
      </c>
      <c r="H328" s="8">
        <v>0.27</v>
      </c>
      <c r="I328" s="4">
        <v>0</v>
      </c>
    </row>
    <row r="329" spans="1:9" x14ac:dyDescent="0.2">
      <c r="A329" s="2">
        <v>6</v>
      </c>
      <c r="B329" s="1" t="s">
        <v>136</v>
      </c>
      <c r="C329" s="4">
        <v>18</v>
      </c>
      <c r="D329" s="8">
        <v>2.36</v>
      </c>
      <c r="E329" s="4">
        <v>4</v>
      </c>
      <c r="F329" s="8">
        <v>1.03</v>
      </c>
      <c r="G329" s="4">
        <v>14</v>
      </c>
      <c r="H329" s="8">
        <v>3.75</v>
      </c>
      <c r="I329" s="4">
        <v>0</v>
      </c>
    </row>
    <row r="330" spans="1:9" x14ac:dyDescent="0.2">
      <c r="A330" s="2">
        <v>6</v>
      </c>
      <c r="B330" s="1" t="s">
        <v>148</v>
      </c>
      <c r="C330" s="4">
        <v>18</v>
      </c>
      <c r="D330" s="8">
        <v>2.36</v>
      </c>
      <c r="E330" s="4">
        <v>18</v>
      </c>
      <c r="F330" s="8">
        <v>4.6500000000000004</v>
      </c>
      <c r="G330" s="4">
        <v>0</v>
      </c>
      <c r="H330" s="8">
        <v>0</v>
      </c>
      <c r="I330" s="4">
        <v>0</v>
      </c>
    </row>
    <row r="331" spans="1:9" x14ac:dyDescent="0.2">
      <c r="A331" s="2">
        <v>8</v>
      </c>
      <c r="B331" s="1" t="s">
        <v>138</v>
      </c>
      <c r="C331" s="4">
        <v>16</v>
      </c>
      <c r="D331" s="8">
        <v>2.09</v>
      </c>
      <c r="E331" s="4">
        <v>8</v>
      </c>
      <c r="F331" s="8">
        <v>2.0699999999999998</v>
      </c>
      <c r="G331" s="4">
        <v>8</v>
      </c>
      <c r="H331" s="8">
        <v>2.14</v>
      </c>
      <c r="I331" s="4">
        <v>0</v>
      </c>
    </row>
    <row r="332" spans="1:9" x14ac:dyDescent="0.2">
      <c r="A332" s="2">
        <v>8</v>
      </c>
      <c r="B332" s="1" t="s">
        <v>141</v>
      </c>
      <c r="C332" s="4">
        <v>16</v>
      </c>
      <c r="D332" s="8">
        <v>2.09</v>
      </c>
      <c r="E332" s="4">
        <v>9</v>
      </c>
      <c r="F332" s="8">
        <v>2.33</v>
      </c>
      <c r="G332" s="4">
        <v>7</v>
      </c>
      <c r="H332" s="8">
        <v>1.88</v>
      </c>
      <c r="I332" s="4">
        <v>0</v>
      </c>
    </row>
    <row r="333" spans="1:9" x14ac:dyDescent="0.2">
      <c r="A333" s="2">
        <v>10</v>
      </c>
      <c r="B333" s="1" t="s">
        <v>152</v>
      </c>
      <c r="C333" s="4">
        <v>15</v>
      </c>
      <c r="D333" s="8">
        <v>1.96</v>
      </c>
      <c r="E333" s="4">
        <v>13</v>
      </c>
      <c r="F333" s="8">
        <v>3.36</v>
      </c>
      <c r="G333" s="4">
        <v>2</v>
      </c>
      <c r="H333" s="8">
        <v>0.54</v>
      </c>
      <c r="I333" s="4">
        <v>0</v>
      </c>
    </row>
    <row r="334" spans="1:9" x14ac:dyDescent="0.2">
      <c r="A334" s="2">
        <v>11</v>
      </c>
      <c r="B334" s="1" t="s">
        <v>147</v>
      </c>
      <c r="C334" s="4">
        <v>14</v>
      </c>
      <c r="D334" s="8">
        <v>1.83</v>
      </c>
      <c r="E334" s="4">
        <v>12</v>
      </c>
      <c r="F334" s="8">
        <v>3.1</v>
      </c>
      <c r="G334" s="4">
        <v>2</v>
      </c>
      <c r="H334" s="8">
        <v>0.54</v>
      </c>
      <c r="I334" s="4">
        <v>0</v>
      </c>
    </row>
    <row r="335" spans="1:9" x14ac:dyDescent="0.2">
      <c r="A335" s="2">
        <v>12</v>
      </c>
      <c r="B335" s="1" t="s">
        <v>163</v>
      </c>
      <c r="C335" s="4">
        <v>13</v>
      </c>
      <c r="D335" s="8">
        <v>1.7</v>
      </c>
      <c r="E335" s="4">
        <v>4</v>
      </c>
      <c r="F335" s="8">
        <v>1.03</v>
      </c>
      <c r="G335" s="4">
        <v>9</v>
      </c>
      <c r="H335" s="8">
        <v>2.41</v>
      </c>
      <c r="I335" s="4">
        <v>0</v>
      </c>
    </row>
    <row r="336" spans="1:9" x14ac:dyDescent="0.2">
      <c r="A336" s="2">
        <v>12</v>
      </c>
      <c r="B336" s="1" t="s">
        <v>166</v>
      </c>
      <c r="C336" s="4">
        <v>13</v>
      </c>
      <c r="D336" s="8">
        <v>1.7</v>
      </c>
      <c r="E336" s="4">
        <v>5</v>
      </c>
      <c r="F336" s="8">
        <v>1.29</v>
      </c>
      <c r="G336" s="4">
        <v>8</v>
      </c>
      <c r="H336" s="8">
        <v>2.14</v>
      </c>
      <c r="I336" s="4">
        <v>0</v>
      </c>
    </row>
    <row r="337" spans="1:9" x14ac:dyDescent="0.2">
      <c r="A337" s="2">
        <v>12</v>
      </c>
      <c r="B337" s="1" t="s">
        <v>168</v>
      </c>
      <c r="C337" s="4">
        <v>13</v>
      </c>
      <c r="D337" s="8">
        <v>1.7</v>
      </c>
      <c r="E337" s="4">
        <v>4</v>
      </c>
      <c r="F337" s="8">
        <v>1.03</v>
      </c>
      <c r="G337" s="4">
        <v>9</v>
      </c>
      <c r="H337" s="8">
        <v>2.41</v>
      </c>
      <c r="I337" s="4">
        <v>0</v>
      </c>
    </row>
    <row r="338" spans="1:9" x14ac:dyDescent="0.2">
      <c r="A338" s="2">
        <v>12</v>
      </c>
      <c r="B338" s="1" t="s">
        <v>145</v>
      </c>
      <c r="C338" s="4">
        <v>13</v>
      </c>
      <c r="D338" s="8">
        <v>1.7</v>
      </c>
      <c r="E338" s="4">
        <v>7</v>
      </c>
      <c r="F338" s="8">
        <v>1.81</v>
      </c>
      <c r="G338" s="4">
        <v>6</v>
      </c>
      <c r="H338" s="8">
        <v>1.61</v>
      </c>
      <c r="I338" s="4">
        <v>0</v>
      </c>
    </row>
    <row r="339" spans="1:9" x14ac:dyDescent="0.2">
      <c r="A339" s="2">
        <v>12</v>
      </c>
      <c r="B339" s="1" t="s">
        <v>146</v>
      </c>
      <c r="C339" s="4">
        <v>13</v>
      </c>
      <c r="D339" s="8">
        <v>1.7</v>
      </c>
      <c r="E339" s="4">
        <v>5</v>
      </c>
      <c r="F339" s="8">
        <v>1.29</v>
      </c>
      <c r="G339" s="4">
        <v>8</v>
      </c>
      <c r="H339" s="8">
        <v>2.14</v>
      </c>
      <c r="I339" s="4">
        <v>0</v>
      </c>
    </row>
    <row r="340" spans="1:9" x14ac:dyDescent="0.2">
      <c r="A340" s="2">
        <v>12</v>
      </c>
      <c r="B340" s="1" t="s">
        <v>154</v>
      </c>
      <c r="C340" s="4">
        <v>13</v>
      </c>
      <c r="D340" s="8">
        <v>1.7</v>
      </c>
      <c r="E340" s="4">
        <v>11</v>
      </c>
      <c r="F340" s="8">
        <v>2.84</v>
      </c>
      <c r="G340" s="4">
        <v>2</v>
      </c>
      <c r="H340" s="8">
        <v>0.54</v>
      </c>
      <c r="I340" s="4">
        <v>0</v>
      </c>
    </row>
    <row r="341" spans="1:9" x14ac:dyDescent="0.2">
      <c r="A341" s="2">
        <v>18</v>
      </c>
      <c r="B341" s="1" t="s">
        <v>162</v>
      </c>
      <c r="C341" s="4">
        <v>12</v>
      </c>
      <c r="D341" s="8">
        <v>1.57</v>
      </c>
      <c r="E341" s="4">
        <v>4</v>
      </c>
      <c r="F341" s="8">
        <v>1.03</v>
      </c>
      <c r="G341" s="4">
        <v>8</v>
      </c>
      <c r="H341" s="8">
        <v>2.14</v>
      </c>
      <c r="I341" s="4">
        <v>0</v>
      </c>
    </row>
    <row r="342" spans="1:9" x14ac:dyDescent="0.2">
      <c r="A342" s="2">
        <v>18</v>
      </c>
      <c r="B342" s="1" t="s">
        <v>143</v>
      </c>
      <c r="C342" s="4">
        <v>12</v>
      </c>
      <c r="D342" s="8">
        <v>1.57</v>
      </c>
      <c r="E342" s="4">
        <v>4</v>
      </c>
      <c r="F342" s="8">
        <v>1.03</v>
      </c>
      <c r="G342" s="4">
        <v>8</v>
      </c>
      <c r="H342" s="8">
        <v>2.14</v>
      </c>
      <c r="I342" s="4">
        <v>0</v>
      </c>
    </row>
    <row r="343" spans="1:9" x14ac:dyDescent="0.2">
      <c r="A343" s="2">
        <v>18</v>
      </c>
      <c r="B343" s="1" t="s">
        <v>171</v>
      </c>
      <c r="C343" s="4">
        <v>12</v>
      </c>
      <c r="D343" s="8">
        <v>1.57</v>
      </c>
      <c r="E343" s="4">
        <v>8</v>
      </c>
      <c r="F343" s="8">
        <v>2.0699999999999998</v>
      </c>
      <c r="G343" s="4">
        <v>4</v>
      </c>
      <c r="H343" s="8">
        <v>1.07</v>
      </c>
      <c r="I343" s="4">
        <v>0</v>
      </c>
    </row>
    <row r="344" spans="1:9" x14ac:dyDescent="0.2">
      <c r="A344" s="1"/>
      <c r="C344" s="4"/>
      <c r="D344" s="8"/>
      <c r="E344" s="4"/>
      <c r="F344" s="8"/>
      <c r="G344" s="4"/>
      <c r="H344" s="8"/>
      <c r="I344" s="4"/>
    </row>
    <row r="345" spans="1:9" x14ac:dyDescent="0.2">
      <c r="A345" s="1" t="s">
        <v>15</v>
      </c>
      <c r="C345" s="4"/>
      <c r="D345" s="8"/>
      <c r="E345" s="4"/>
      <c r="F345" s="8"/>
      <c r="G345" s="4"/>
      <c r="H345" s="8"/>
      <c r="I345" s="4"/>
    </row>
    <row r="346" spans="1:9" x14ac:dyDescent="0.2">
      <c r="A346" s="2">
        <v>1</v>
      </c>
      <c r="B346" s="1" t="s">
        <v>145</v>
      </c>
      <c r="C346" s="4">
        <v>71</v>
      </c>
      <c r="D346" s="8">
        <v>7.68</v>
      </c>
      <c r="E346" s="4">
        <v>62</v>
      </c>
      <c r="F346" s="8">
        <v>9.73</v>
      </c>
      <c r="G346" s="4">
        <v>9</v>
      </c>
      <c r="H346" s="8">
        <v>3.27</v>
      </c>
      <c r="I346" s="4">
        <v>0</v>
      </c>
    </row>
    <row r="347" spans="1:9" x14ac:dyDescent="0.2">
      <c r="A347" s="2">
        <v>2</v>
      </c>
      <c r="B347" s="1" t="s">
        <v>151</v>
      </c>
      <c r="C347" s="4">
        <v>55</v>
      </c>
      <c r="D347" s="8">
        <v>5.95</v>
      </c>
      <c r="E347" s="4">
        <v>52</v>
      </c>
      <c r="F347" s="8">
        <v>8.16</v>
      </c>
      <c r="G347" s="4">
        <v>3</v>
      </c>
      <c r="H347" s="8">
        <v>1.0900000000000001</v>
      </c>
      <c r="I347" s="4">
        <v>0</v>
      </c>
    </row>
    <row r="348" spans="1:9" x14ac:dyDescent="0.2">
      <c r="A348" s="2">
        <v>3</v>
      </c>
      <c r="B348" s="1" t="s">
        <v>140</v>
      </c>
      <c r="C348" s="4">
        <v>44</v>
      </c>
      <c r="D348" s="8">
        <v>4.76</v>
      </c>
      <c r="E348" s="4">
        <v>34</v>
      </c>
      <c r="F348" s="8">
        <v>5.34</v>
      </c>
      <c r="G348" s="4">
        <v>10</v>
      </c>
      <c r="H348" s="8">
        <v>3.64</v>
      </c>
      <c r="I348" s="4">
        <v>0</v>
      </c>
    </row>
    <row r="349" spans="1:9" x14ac:dyDescent="0.2">
      <c r="A349" s="2">
        <v>4</v>
      </c>
      <c r="B349" s="1" t="s">
        <v>135</v>
      </c>
      <c r="C349" s="4">
        <v>29</v>
      </c>
      <c r="D349" s="8">
        <v>3.14</v>
      </c>
      <c r="E349" s="4">
        <v>7</v>
      </c>
      <c r="F349" s="8">
        <v>1.1000000000000001</v>
      </c>
      <c r="G349" s="4">
        <v>22</v>
      </c>
      <c r="H349" s="8">
        <v>8</v>
      </c>
      <c r="I349" s="4">
        <v>0</v>
      </c>
    </row>
    <row r="350" spans="1:9" x14ac:dyDescent="0.2">
      <c r="A350" s="2">
        <v>4</v>
      </c>
      <c r="B350" s="1" t="s">
        <v>137</v>
      </c>
      <c r="C350" s="4">
        <v>29</v>
      </c>
      <c r="D350" s="8">
        <v>3.14</v>
      </c>
      <c r="E350" s="4">
        <v>24</v>
      </c>
      <c r="F350" s="8">
        <v>3.77</v>
      </c>
      <c r="G350" s="4">
        <v>5</v>
      </c>
      <c r="H350" s="8">
        <v>1.82</v>
      </c>
      <c r="I350" s="4">
        <v>0</v>
      </c>
    </row>
    <row r="351" spans="1:9" x14ac:dyDescent="0.2">
      <c r="A351" s="2">
        <v>6</v>
      </c>
      <c r="B351" s="1" t="s">
        <v>150</v>
      </c>
      <c r="C351" s="4">
        <v>28</v>
      </c>
      <c r="D351" s="8">
        <v>3.03</v>
      </c>
      <c r="E351" s="4">
        <v>27</v>
      </c>
      <c r="F351" s="8">
        <v>4.24</v>
      </c>
      <c r="G351" s="4">
        <v>1</v>
      </c>
      <c r="H351" s="8">
        <v>0.36</v>
      </c>
      <c r="I351" s="4">
        <v>0</v>
      </c>
    </row>
    <row r="352" spans="1:9" x14ac:dyDescent="0.2">
      <c r="A352" s="2">
        <v>7</v>
      </c>
      <c r="B352" s="1" t="s">
        <v>168</v>
      </c>
      <c r="C352" s="4">
        <v>24</v>
      </c>
      <c r="D352" s="8">
        <v>2.59</v>
      </c>
      <c r="E352" s="4">
        <v>7</v>
      </c>
      <c r="F352" s="8">
        <v>1.1000000000000001</v>
      </c>
      <c r="G352" s="4">
        <v>17</v>
      </c>
      <c r="H352" s="8">
        <v>6.18</v>
      </c>
      <c r="I352" s="4">
        <v>0</v>
      </c>
    </row>
    <row r="353" spans="1:9" x14ac:dyDescent="0.2">
      <c r="A353" s="2">
        <v>8</v>
      </c>
      <c r="B353" s="1" t="s">
        <v>136</v>
      </c>
      <c r="C353" s="4">
        <v>17</v>
      </c>
      <c r="D353" s="8">
        <v>1.84</v>
      </c>
      <c r="E353" s="4">
        <v>7</v>
      </c>
      <c r="F353" s="8">
        <v>1.1000000000000001</v>
      </c>
      <c r="G353" s="4">
        <v>10</v>
      </c>
      <c r="H353" s="8">
        <v>3.64</v>
      </c>
      <c r="I353" s="4">
        <v>0</v>
      </c>
    </row>
    <row r="354" spans="1:9" x14ac:dyDescent="0.2">
      <c r="A354" s="2">
        <v>8</v>
      </c>
      <c r="B354" s="1" t="s">
        <v>146</v>
      </c>
      <c r="C354" s="4">
        <v>17</v>
      </c>
      <c r="D354" s="8">
        <v>1.84</v>
      </c>
      <c r="E354" s="4">
        <v>4</v>
      </c>
      <c r="F354" s="8">
        <v>0.63</v>
      </c>
      <c r="G354" s="4">
        <v>13</v>
      </c>
      <c r="H354" s="8">
        <v>4.7300000000000004</v>
      </c>
      <c r="I354" s="4">
        <v>0</v>
      </c>
    </row>
    <row r="355" spans="1:9" x14ac:dyDescent="0.2">
      <c r="A355" s="2">
        <v>8</v>
      </c>
      <c r="B355" s="1" t="s">
        <v>153</v>
      </c>
      <c r="C355" s="4">
        <v>17</v>
      </c>
      <c r="D355" s="8">
        <v>1.84</v>
      </c>
      <c r="E355" s="4">
        <v>17</v>
      </c>
      <c r="F355" s="8">
        <v>2.67</v>
      </c>
      <c r="G355" s="4">
        <v>0</v>
      </c>
      <c r="H355" s="8">
        <v>0</v>
      </c>
      <c r="I355" s="4">
        <v>0</v>
      </c>
    </row>
    <row r="356" spans="1:9" x14ac:dyDescent="0.2">
      <c r="A356" s="2">
        <v>11</v>
      </c>
      <c r="B356" s="1" t="s">
        <v>177</v>
      </c>
      <c r="C356" s="4">
        <v>15</v>
      </c>
      <c r="D356" s="8">
        <v>1.62</v>
      </c>
      <c r="E356" s="4">
        <v>8</v>
      </c>
      <c r="F356" s="8">
        <v>1.26</v>
      </c>
      <c r="G356" s="4">
        <v>7</v>
      </c>
      <c r="H356" s="8">
        <v>2.5499999999999998</v>
      </c>
      <c r="I356" s="4">
        <v>0</v>
      </c>
    </row>
    <row r="357" spans="1:9" x14ac:dyDescent="0.2">
      <c r="A357" s="2">
        <v>11</v>
      </c>
      <c r="B357" s="1" t="s">
        <v>174</v>
      </c>
      <c r="C357" s="4">
        <v>15</v>
      </c>
      <c r="D357" s="8">
        <v>1.62</v>
      </c>
      <c r="E357" s="4">
        <v>12</v>
      </c>
      <c r="F357" s="8">
        <v>1.88</v>
      </c>
      <c r="G357" s="4">
        <v>3</v>
      </c>
      <c r="H357" s="8">
        <v>1.0900000000000001</v>
      </c>
      <c r="I357" s="4">
        <v>0</v>
      </c>
    </row>
    <row r="358" spans="1:9" x14ac:dyDescent="0.2">
      <c r="A358" s="2">
        <v>11</v>
      </c>
      <c r="B358" s="1" t="s">
        <v>143</v>
      </c>
      <c r="C358" s="4">
        <v>15</v>
      </c>
      <c r="D358" s="8">
        <v>1.62</v>
      </c>
      <c r="E358" s="4">
        <v>12</v>
      </c>
      <c r="F358" s="8">
        <v>1.88</v>
      </c>
      <c r="G358" s="4">
        <v>3</v>
      </c>
      <c r="H358" s="8">
        <v>1.0900000000000001</v>
      </c>
      <c r="I358" s="4">
        <v>0</v>
      </c>
    </row>
    <row r="359" spans="1:9" x14ac:dyDescent="0.2">
      <c r="A359" s="2">
        <v>11</v>
      </c>
      <c r="B359" s="1" t="s">
        <v>147</v>
      </c>
      <c r="C359" s="4">
        <v>15</v>
      </c>
      <c r="D359" s="8">
        <v>1.62</v>
      </c>
      <c r="E359" s="4">
        <v>10</v>
      </c>
      <c r="F359" s="8">
        <v>1.57</v>
      </c>
      <c r="G359" s="4">
        <v>5</v>
      </c>
      <c r="H359" s="8">
        <v>1.82</v>
      </c>
      <c r="I359" s="4">
        <v>0</v>
      </c>
    </row>
    <row r="360" spans="1:9" x14ac:dyDescent="0.2">
      <c r="A360" s="2">
        <v>15</v>
      </c>
      <c r="B360" s="1" t="s">
        <v>179</v>
      </c>
      <c r="C360" s="4">
        <v>14</v>
      </c>
      <c r="D360" s="8">
        <v>1.51</v>
      </c>
      <c r="E360" s="4">
        <v>11</v>
      </c>
      <c r="F360" s="8">
        <v>1.73</v>
      </c>
      <c r="G360" s="4">
        <v>3</v>
      </c>
      <c r="H360" s="8">
        <v>1.0900000000000001</v>
      </c>
      <c r="I360" s="4">
        <v>0</v>
      </c>
    </row>
    <row r="361" spans="1:9" x14ac:dyDescent="0.2">
      <c r="A361" s="2">
        <v>15</v>
      </c>
      <c r="B361" s="1" t="s">
        <v>166</v>
      </c>
      <c r="C361" s="4">
        <v>14</v>
      </c>
      <c r="D361" s="8">
        <v>1.51</v>
      </c>
      <c r="E361" s="4">
        <v>14</v>
      </c>
      <c r="F361" s="8">
        <v>2.2000000000000002</v>
      </c>
      <c r="G361" s="4">
        <v>0</v>
      </c>
      <c r="H361" s="8">
        <v>0</v>
      </c>
      <c r="I361" s="4">
        <v>0</v>
      </c>
    </row>
    <row r="362" spans="1:9" x14ac:dyDescent="0.2">
      <c r="A362" s="2">
        <v>17</v>
      </c>
      <c r="B362" s="1" t="s">
        <v>178</v>
      </c>
      <c r="C362" s="4">
        <v>13</v>
      </c>
      <c r="D362" s="8">
        <v>1.41</v>
      </c>
      <c r="E362" s="4">
        <v>2</v>
      </c>
      <c r="F362" s="8">
        <v>0.31</v>
      </c>
      <c r="G362" s="4">
        <v>11</v>
      </c>
      <c r="H362" s="8">
        <v>4</v>
      </c>
      <c r="I362" s="4">
        <v>0</v>
      </c>
    </row>
    <row r="363" spans="1:9" x14ac:dyDescent="0.2">
      <c r="A363" s="2">
        <v>17</v>
      </c>
      <c r="B363" s="1" t="s">
        <v>154</v>
      </c>
      <c r="C363" s="4">
        <v>13</v>
      </c>
      <c r="D363" s="8">
        <v>1.41</v>
      </c>
      <c r="E363" s="4">
        <v>12</v>
      </c>
      <c r="F363" s="8">
        <v>1.88</v>
      </c>
      <c r="G363" s="4">
        <v>1</v>
      </c>
      <c r="H363" s="8">
        <v>0.36</v>
      </c>
      <c r="I363" s="4">
        <v>0</v>
      </c>
    </row>
    <row r="364" spans="1:9" x14ac:dyDescent="0.2">
      <c r="A364" s="2">
        <v>19</v>
      </c>
      <c r="B364" s="1" t="s">
        <v>138</v>
      </c>
      <c r="C364" s="4">
        <v>12</v>
      </c>
      <c r="D364" s="8">
        <v>1.3</v>
      </c>
      <c r="E364" s="4">
        <v>5</v>
      </c>
      <c r="F364" s="8">
        <v>0.78</v>
      </c>
      <c r="G364" s="4">
        <v>7</v>
      </c>
      <c r="H364" s="8">
        <v>2.5499999999999998</v>
      </c>
      <c r="I364" s="4">
        <v>0</v>
      </c>
    </row>
    <row r="365" spans="1:9" x14ac:dyDescent="0.2">
      <c r="A365" s="2">
        <v>19</v>
      </c>
      <c r="B365" s="1" t="s">
        <v>164</v>
      </c>
      <c r="C365" s="4">
        <v>12</v>
      </c>
      <c r="D365" s="8">
        <v>1.3</v>
      </c>
      <c r="E365" s="4">
        <v>5</v>
      </c>
      <c r="F365" s="8">
        <v>0.78</v>
      </c>
      <c r="G365" s="4">
        <v>7</v>
      </c>
      <c r="H365" s="8">
        <v>2.5499999999999998</v>
      </c>
      <c r="I365" s="4">
        <v>0</v>
      </c>
    </row>
    <row r="366" spans="1:9" x14ac:dyDescent="0.2">
      <c r="A366" s="2">
        <v>19</v>
      </c>
      <c r="B366" s="1" t="s">
        <v>160</v>
      </c>
      <c r="C366" s="4">
        <v>12</v>
      </c>
      <c r="D366" s="8">
        <v>1.3</v>
      </c>
      <c r="E366" s="4">
        <v>11</v>
      </c>
      <c r="F366" s="8">
        <v>1.73</v>
      </c>
      <c r="G366" s="4">
        <v>1</v>
      </c>
      <c r="H366" s="8">
        <v>0.36</v>
      </c>
      <c r="I366" s="4">
        <v>0</v>
      </c>
    </row>
    <row r="367" spans="1:9" x14ac:dyDescent="0.2">
      <c r="A367" s="2">
        <v>19</v>
      </c>
      <c r="B367" s="1" t="s">
        <v>180</v>
      </c>
      <c r="C367" s="4">
        <v>12</v>
      </c>
      <c r="D367" s="8">
        <v>1.3</v>
      </c>
      <c r="E367" s="4">
        <v>0</v>
      </c>
      <c r="F367" s="8">
        <v>0</v>
      </c>
      <c r="G367" s="4">
        <v>12</v>
      </c>
      <c r="H367" s="8">
        <v>4.3600000000000003</v>
      </c>
      <c r="I367" s="4">
        <v>0</v>
      </c>
    </row>
    <row r="368" spans="1:9" x14ac:dyDescent="0.2">
      <c r="A368" s="1"/>
      <c r="C368" s="4"/>
      <c r="D368" s="8"/>
      <c r="E368" s="4"/>
      <c r="F368" s="8"/>
      <c r="G368" s="4"/>
      <c r="H368" s="8"/>
      <c r="I368" s="4"/>
    </row>
    <row r="369" spans="1:9" x14ac:dyDescent="0.2">
      <c r="A369" s="1" t="s">
        <v>16</v>
      </c>
      <c r="C369" s="4"/>
      <c r="D369" s="8"/>
      <c r="E369" s="4"/>
      <c r="F369" s="8"/>
      <c r="G369" s="4"/>
      <c r="H369" s="8"/>
      <c r="I369" s="4"/>
    </row>
    <row r="370" spans="1:9" x14ac:dyDescent="0.2">
      <c r="A370" s="2">
        <v>1</v>
      </c>
      <c r="B370" s="1" t="s">
        <v>151</v>
      </c>
      <c r="C370" s="4">
        <v>72</v>
      </c>
      <c r="D370" s="8">
        <v>5.89</v>
      </c>
      <c r="E370" s="4">
        <v>64</v>
      </c>
      <c r="F370" s="8">
        <v>9.58</v>
      </c>
      <c r="G370" s="4">
        <v>8</v>
      </c>
      <c r="H370" s="8">
        <v>1.49</v>
      </c>
      <c r="I370" s="4">
        <v>0</v>
      </c>
    </row>
    <row r="371" spans="1:9" x14ac:dyDescent="0.2">
      <c r="A371" s="2">
        <v>2</v>
      </c>
      <c r="B371" s="1" t="s">
        <v>150</v>
      </c>
      <c r="C371" s="4">
        <v>47</v>
      </c>
      <c r="D371" s="8">
        <v>3.84</v>
      </c>
      <c r="E371" s="4">
        <v>46</v>
      </c>
      <c r="F371" s="8">
        <v>6.89</v>
      </c>
      <c r="G371" s="4">
        <v>1</v>
      </c>
      <c r="H371" s="8">
        <v>0.19</v>
      </c>
      <c r="I371" s="4">
        <v>0</v>
      </c>
    </row>
    <row r="372" spans="1:9" x14ac:dyDescent="0.2">
      <c r="A372" s="2">
        <v>3</v>
      </c>
      <c r="B372" s="1" t="s">
        <v>140</v>
      </c>
      <c r="C372" s="4">
        <v>43</v>
      </c>
      <c r="D372" s="8">
        <v>3.52</v>
      </c>
      <c r="E372" s="4">
        <v>27</v>
      </c>
      <c r="F372" s="8">
        <v>4.04</v>
      </c>
      <c r="G372" s="4">
        <v>16</v>
      </c>
      <c r="H372" s="8">
        <v>2.97</v>
      </c>
      <c r="I372" s="4">
        <v>0</v>
      </c>
    </row>
    <row r="373" spans="1:9" x14ac:dyDescent="0.2">
      <c r="A373" s="2">
        <v>4</v>
      </c>
      <c r="B373" s="1" t="s">
        <v>137</v>
      </c>
      <c r="C373" s="4">
        <v>38</v>
      </c>
      <c r="D373" s="8">
        <v>3.11</v>
      </c>
      <c r="E373" s="4">
        <v>21</v>
      </c>
      <c r="F373" s="8">
        <v>3.14</v>
      </c>
      <c r="G373" s="4">
        <v>17</v>
      </c>
      <c r="H373" s="8">
        <v>3.16</v>
      </c>
      <c r="I373" s="4">
        <v>0</v>
      </c>
    </row>
    <row r="374" spans="1:9" x14ac:dyDescent="0.2">
      <c r="A374" s="2">
        <v>5</v>
      </c>
      <c r="B374" s="1" t="s">
        <v>141</v>
      </c>
      <c r="C374" s="4">
        <v>36</v>
      </c>
      <c r="D374" s="8">
        <v>2.94</v>
      </c>
      <c r="E374" s="4">
        <v>23</v>
      </c>
      <c r="F374" s="8">
        <v>3.44</v>
      </c>
      <c r="G374" s="4">
        <v>13</v>
      </c>
      <c r="H374" s="8">
        <v>2.42</v>
      </c>
      <c r="I374" s="4">
        <v>0</v>
      </c>
    </row>
    <row r="375" spans="1:9" x14ac:dyDescent="0.2">
      <c r="A375" s="2">
        <v>6</v>
      </c>
      <c r="B375" s="1" t="s">
        <v>154</v>
      </c>
      <c r="C375" s="4">
        <v>35</v>
      </c>
      <c r="D375" s="8">
        <v>2.86</v>
      </c>
      <c r="E375" s="4">
        <v>29</v>
      </c>
      <c r="F375" s="8">
        <v>4.34</v>
      </c>
      <c r="G375" s="4">
        <v>6</v>
      </c>
      <c r="H375" s="8">
        <v>1.1200000000000001</v>
      </c>
      <c r="I375" s="4">
        <v>0</v>
      </c>
    </row>
    <row r="376" spans="1:9" x14ac:dyDescent="0.2">
      <c r="A376" s="2">
        <v>7</v>
      </c>
      <c r="B376" s="1" t="s">
        <v>135</v>
      </c>
      <c r="C376" s="4">
        <v>30</v>
      </c>
      <c r="D376" s="8">
        <v>2.4500000000000002</v>
      </c>
      <c r="E376" s="4">
        <v>5</v>
      </c>
      <c r="F376" s="8">
        <v>0.75</v>
      </c>
      <c r="G376" s="4">
        <v>25</v>
      </c>
      <c r="H376" s="8">
        <v>4.6500000000000004</v>
      </c>
      <c r="I376" s="4">
        <v>0</v>
      </c>
    </row>
    <row r="377" spans="1:9" x14ac:dyDescent="0.2">
      <c r="A377" s="2">
        <v>7</v>
      </c>
      <c r="B377" s="1" t="s">
        <v>153</v>
      </c>
      <c r="C377" s="4">
        <v>30</v>
      </c>
      <c r="D377" s="8">
        <v>2.4500000000000002</v>
      </c>
      <c r="E377" s="4">
        <v>27</v>
      </c>
      <c r="F377" s="8">
        <v>4.04</v>
      </c>
      <c r="G377" s="4">
        <v>3</v>
      </c>
      <c r="H377" s="8">
        <v>0.56000000000000005</v>
      </c>
      <c r="I377" s="4">
        <v>0</v>
      </c>
    </row>
    <row r="378" spans="1:9" x14ac:dyDescent="0.2">
      <c r="A378" s="2">
        <v>9</v>
      </c>
      <c r="B378" s="1" t="s">
        <v>152</v>
      </c>
      <c r="C378" s="4">
        <v>29</v>
      </c>
      <c r="D378" s="8">
        <v>2.37</v>
      </c>
      <c r="E378" s="4">
        <v>26</v>
      </c>
      <c r="F378" s="8">
        <v>3.89</v>
      </c>
      <c r="G378" s="4">
        <v>3</v>
      </c>
      <c r="H378" s="8">
        <v>0.56000000000000005</v>
      </c>
      <c r="I378" s="4">
        <v>0</v>
      </c>
    </row>
    <row r="379" spans="1:9" x14ac:dyDescent="0.2">
      <c r="A379" s="2">
        <v>10</v>
      </c>
      <c r="B379" s="1" t="s">
        <v>148</v>
      </c>
      <c r="C379" s="4">
        <v>28</v>
      </c>
      <c r="D379" s="8">
        <v>2.29</v>
      </c>
      <c r="E379" s="4">
        <v>25</v>
      </c>
      <c r="F379" s="8">
        <v>3.74</v>
      </c>
      <c r="G379" s="4">
        <v>3</v>
      </c>
      <c r="H379" s="8">
        <v>0.56000000000000005</v>
      </c>
      <c r="I379" s="4">
        <v>0</v>
      </c>
    </row>
    <row r="380" spans="1:9" x14ac:dyDescent="0.2">
      <c r="A380" s="2">
        <v>11</v>
      </c>
      <c r="B380" s="1" t="s">
        <v>147</v>
      </c>
      <c r="C380" s="4">
        <v>26</v>
      </c>
      <c r="D380" s="8">
        <v>2.13</v>
      </c>
      <c r="E380" s="4">
        <v>19</v>
      </c>
      <c r="F380" s="8">
        <v>2.84</v>
      </c>
      <c r="G380" s="4">
        <v>7</v>
      </c>
      <c r="H380" s="8">
        <v>1.3</v>
      </c>
      <c r="I380" s="4">
        <v>0</v>
      </c>
    </row>
    <row r="381" spans="1:9" x14ac:dyDescent="0.2">
      <c r="A381" s="2">
        <v>12</v>
      </c>
      <c r="B381" s="1" t="s">
        <v>138</v>
      </c>
      <c r="C381" s="4">
        <v>25</v>
      </c>
      <c r="D381" s="8">
        <v>2.04</v>
      </c>
      <c r="E381" s="4">
        <v>14</v>
      </c>
      <c r="F381" s="8">
        <v>2.1</v>
      </c>
      <c r="G381" s="4">
        <v>11</v>
      </c>
      <c r="H381" s="8">
        <v>2.04</v>
      </c>
      <c r="I381" s="4">
        <v>0</v>
      </c>
    </row>
    <row r="382" spans="1:9" x14ac:dyDescent="0.2">
      <c r="A382" s="2">
        <v>13</v>
      </c>
      <c r="B382" s="1" t="s">
        <v>146</v>
      </c>
      <c r="C382" s="4">
        <v>23</v>
      </c>
      <c r="D382" s="8">
        <v>1.88</v>
      </c>
      <c r="E382" s="4">
        <v>3</v>
      </c>
      <c r="F382" s="8">
        <v>0.45</v>
      </c>
      <c r="G382" s="4">
        <v>20</v>
      </c>
      <c r="H382" s="8">
        <v>3.72</v>
      </c>
      <c r="I382" s="4">
        <v>0</v>
      </c>
    </row>
    <row r="383" spans="1:9" x14ac:dyDescent="0.2">
      <c r="A383" s="2">
        <v>14</v>
      </c>
      <c r="B383" s="1" t="s">
        <v>166</v>
      </c>
      <c r="C383" s="4">
        <v>21</v>
      </c>
      <c r="D383" s="8">
        <v>1.72</v>
      </c>
      <c r="E383" s="4">
        <v>17</v>
      </c>
      <c r="F383" s="8">
        <v>2.54</v>
      </c>
      <c r="G383" s="4">
        <v>4</v>
      </c>
      <c r="H383" s="8">
        <v>0.74</v>
      </c>
      <c r="I383" s="4">
        <v>0</v>
      </c>
    </row>
    <row r="384" spans="1:9" x14ac:dyDescent="0.2">
      <c r="A384" s="2">
        <v>14</v>
      </c>
      <c r="B384" s="1" t="s">
        <v>143</v>
      </c>
      <c r="C384" s="4">
        <v>21</v>
      </c>
      <c r="D384" s="8">
        <v>1.72</v>
      </c>
      <c r="E384" s="4">
        <v>13</v>
      </c>
      <c r="F384" s="8">
        <v>1.95</v>
      </c>
      <c r="G384" s="4">
        <v>8</v>
      </c>
      <c r="H384" s="8">
        <v>1.49</v>
      </c>
      <c r="I384" s="4">
        <v>0</v>
      </c>
    </row>
    <row r="385" spans="1:9" x14ac:dyDescent="0.2">
      <c r="A385" s="2">
        <v>16</v>
      </c>
      <c r="B385" s="1" t="s">
        <v>136</v>
      </c>
      <c r="C385" s="4">
        <v>20</v>
      </c>
      <c r="D385" s="8">
        <v>1.64</v>
      </c>
      <c r="E385" s="4">
        <v>9</v>
      </c>
      <c r="F385" s="8">
        <v>1.35</v>
      </c>
      <c r="G385" s="4">
        <v>11</v>
      </c>
      <c r="H385" s="8">
        <v>2.04</v>
      </c>
      <c r="I385" s="4">
        <v>0</v>
      </c>
    </row>
    <row r="386" spans="1:9" x14ac:dyDescent="0.2">
      <c r="A386" s="2">
        <v>16</v>
      </c>
      <c r="B386" s="1" t="s">
        <v>168</v>
      </c>
      <c r="C386" s="4">
        <v>20</v>
      </c>
      <c r="D386" s="8">
        <v>1.64</v>
      </c>
      <c r="E386" s="4">
        <v>8</v>
      </c>
      <c r="F386" s="8">
        <v>1.2</v>
      </c>
      <c r="G386" s="4">
        <v>12</v>
      </c>
      <c r="H386" s="8">
        <v>2.23</v>
      </c>
      <c r="I386" s="4">
        <v>0</v>
      </c>
    </row>
    <row r="387" spans="1:9" x14ac:dyDescent="0.2">
      <c r="A387" s="2">
        <v>18</v>
      </c>
      <c r="B387" s="1" t="s">
        <v>142</v>
      </c>
      <c r="C387" s="4">
        <v>17</v>
      </c>
      <c r="D387" s="8">
        <v>1.39</v>
      </c>
      <c r="E387" s="4">
        <v>4</v>
      </c>
      <c r="F387" s="8">
        <v>0.6</v>
      </c>
      <c r="G387" s="4">
        <v>13</v>
      </c>
      <c r="H387" s="8">
        <v>2.42</v>
      </c>
      <c r="I387" s="4">
        <v>0</v>
      </c>
    </row>
    <row r="388" spans="1:9" x14ac:dyDescent="0.2">
      <c r="A388" s="2">
        <v>18</v>
      </c>
      <c r="B388" s="1" t="s">
        <v>160</v>
      </c>
      <c r="C388" s="4">
        <v>17</v>
      </c>
      <c r="D388" s="8">
        <v>1.39</v>
      </c>
      <c r="E388" s="4">
        <v>8</v>
      </c>
      <c r="F388" s="8">
        <v>1.2</v>
      </c>
      <c r="G388" s="4">
        <v>9</v>
      </c>
      <c r="H388" s="8">
        <v>1.67</v>
      </c>
      <c r="I388" s="4">
        <v>0</v>
      </c>
    </row>
    <row r="389" spans="1:9" x14ac:dyDescent="0.2">
      <c r="A389" s="2">
        <v>20</v>
      </c>
      <c r="B389" s="1" t="s">
        <v>163</v>
      </c>
      <c r="C389" s="4">
        <v>16</v>
      </c>
      <c r="D389" s="8">
        <v>1.31</v>
      </c>
      <c r="E389" s="4">
        <v>3</v>
      </c>
      <c r="F389" s="8">
        <v>0.45</v>
      </c>
      <c r="G389" s="4">
        <v>13</v>
      </c>
      <c r="H389" s="8">
        <v>2.42</v>
      </c>
      <c r="I389" s="4">
        <v>0</v>
      </c>
    </row>
    <row r="390" spans="1:9" x14ac:dyDescent="0.2">
      <c r="A390" s="2">
        <v>20</v>
      </c>
      <c r="B390" s="1" t="s">
        <v>167</v>
      </c>
      <c r="C390" s="4">
        <v>16</v>
      </c>
      <c r="D390" s="8">
        <v>1.31</v>
      </c>
      <c r="E390" s="4">
        <v>9</v>
      </c>
      <c r="F390" s="8">
        <v>1.35</v>
      </c>
      <c r="G390" s="4">
        <v>7</v>
      </c>
      <c r="H390" s="8">
        <v>1.3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17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151</v>
      </c>
      <c r="C393" s="4">
        <v>36</v>
      </c>
      <c r="D393" s="8">
        <v>4.7699999999999996</v>
      </c>
      <c r="E393" s="4">
        <v>33</v>
      </c>
      <c r="F393" s="8">
        <v>7.64</v>
      </c>
      <c r="G393" s="4">
        <v>3</v>
      </c>
      <c r="H393" s="8">
        <v>0.97</v>
      </c>
      <c r="I393" s="4">
        <v>0</v>
      </c>
    </row>
    <row r="394" spans="1:9" x14ac:dyDescent="0.2">
      <c r="A394" s="2">
        <v>2</v>
      </c>
      <c r="B394" s="1" t="s">
        <v>147</v>
      </c>
      <c r="C394" s="4">
        <v>34</v>
      </c>
      <c r="D394" s="8">
        <v>4.51</v>
      </c>
      <c r="E394" s="4">
        <v>26</v>
      </c>
      <c r="F394" s="8">
        <v>6.02</v>
      </c>
      <c r="G394" s="4">
        <v>8</v>
      </c>
      <c r="H394" s="8">
        <v>2.58</v>
      </c>
      <c r="I394" s="4">
        <v>0</v>
      </c>
    </row>
    <row r="395" spans="1:9" x14ac:dyDescent="0.2">
      <c r="A395" s="2">
        <v>3</v>
      </c>
      <c r="B395" s="1" t="s">
        <v>135</v>
      </c>
      <c r="C395" s="4">
        <v>31</v>
      </c>
      <c r="D395" s="8">
        <v>4.1100000000000003</v>
      </c>
      <c r="E395" s="4">
        <v>4</v>
      </c>
      <c r="F395" s="8">
        <v>0.93</v>
      </c>
      <c r="G395" s="4">
        <v>27</v>
      </c>
      <c r="H395" s="8">
        <v>8.7100000000000009</v>
      </c>
      <c r="I395" s="4">
        <v>0</v>
      </c>
    </row>
    <row r="396" spans="1:9" x14ac:dyDescent="0.2">
      <c r="A396" s="2">
        <v>4</v>
      </c>
      <c r="B396" s="1" t="s">
        <v>150</v>
      </c>
      <c r="C396" s="4">
        <v>25</v>
      </c>
      <c r="D396" s="8">
        <v>3.32</v>
      </c>
      <c r="E396" s="4">
        <v>24</v>
      </c>
      <c r="F396" s="8">
        <v>5.56</v>
      </c>
      <c r="G396" s="4">
        <v>1</v>
      </c>
      <c r="H396" s="8">
        <v>0.32</v>
      </c>
      <c r="I396" s="4">
        <v>0</v>
      </c>
    </row>
    <row r="397" spans="1:9" x14ac:dyDescent="0.2">
      <c r="A397" s="2">
        <v>5</v>
      </c>
      <c r="B397" s="1" t="s">
        <v>149</v>
      </c>
      <c r="C397" s="4">
        <v>23</v>
      </c>
      <c r="D397" s="8">
        <v>3.05</v>
      </c>
      <c r="E397" s="4">
        <v>23</v>
      </c>
      <c r="F397" s="8">
        <v>5.32</v>
      </c>
      <c r="G397" s="4">
        <v>0</v>
      </c>
      <c r="H397" s="8">
        <v>0</v>
      </c>
      <c r="I397" s="4">
        <v>0</v>
      </c>
    </row>
    <row r="398" spans="1:9" x14ac:dyDescent="0.2">
      <c r="A398" s="2">
        <v>6</v>
      </c>
      <c r="B398" s="1" t="s">
        <v>181</v>
      </c>
      <c r="C398" s="4">
        <v>22</v>
      </c>
      <c r="D398" s="8">
        <v>2.92</v>
      </c>
      <c r="E398" s="4">
        <v>13</v>
      </c>
      <c r="F398" s="8">
        <v>3.01</v>
      </c>
      <c r="G398" s="4">
        <v>9</v>
      </c>
      <c r="H398" s="8">
        <v>2.9</v>
      </c>
      <c r="I398" s="4">
        <v>0</v>
      </c>
    </row>
    <row r="399" spans="1:9" x14ac:dyDescent="0.2">
      <c r="A399" s="2">
        <v>7</v>
      </c>
      <c r="B399" s="1" t="s">
        <v>153</v>
      </c>
      <c r="C399" s="4">
        <v>21</v>
      </c>
      <c r="D399" s="8">
        <v>2.79</v>
      </c>
      <c r="E399" s="4">
        <v>21</v>
      </c>
      <c r="F399" s="8">
        <v>4.8600000000000003</v>
      </c>
      <c r="G399" s="4">
        <v>0</v>
      </c>
      <c r="H399" s="8">
        <v>0</v>
      </c>
      <c r="I399" s="4">
        <v>0</v>
      </c>
    </row>
    <row r="400" spans="1:9" x14ac:dyDescent="0.2">
      <c r="A400" s="2">
        <v>8</v>
      </c>
      <c r="B400" s="1" t="s">
        <v>140</v>
      </c>
      <c r="C400" s="4">
        <v>20</v>
      </c>
      <c r="D400" s="8">
        <v>2.65</v>
      </c>
      <c r="E400" s="4">
        <v>14</v>
      </c>
      <c r="F400" s="8">
        <v>3.24</v>
      </c>
      <c r="G400" s="4">
        <v>6</v>
      </c>
      <c r="H400" s="8">
        <v>1.94</v>
      </c>
      <c r="I400" s="4">
        <v>0</v>
      </c>
    </row>
    <row r="401" spans="1:9" x14ac:dyDescent="0.2">
      <c r="A401" s="2">
        <v>8</v>
      </c>
      <c r="B401" s="1" t="s">
        <v>143</v>
      </c>
      <c r="C401" s="4">
        <v>20</v>
      </c>
      <c r="D401" s="8">
        <v>2.65</v>
      </c>
      <c r="E401" s="4">
        <v>14</v>
      </c>
      <c r="F401" s="8">
        <v>3.24</v>
      </c>
      <c r="G401" s="4">
        <v>6</v>
      </c>
      <c r="H401" s="8">
        <v>1.94</v>
      </c>
      <c r="I401" s="4">
        <v>0</v>
      </c>
    </row>
    <row r="402" spans="1:9" x14ac:dyDescent="0.2">
      <c r="A402" s="2">
        <v>10</v>
      </c>
      <c r="B402" s="1" t="s">
        <v>148</v>
      </c>
      <c r="C402" s="4">
        <v>19</v>
      </c>
      <c r="D402" s="8">
        <v>2.52</v>
      </c>
      <c r="E402" s="4">
        <v>17</v>
      </c>
      <c r="F402" s="8">
        <v>3.94</v>
      </c>
      <c r="G402" s="4">
        <v>2</v>
      </c>
      <c r="H402" s="8">
        <v>0.65</v>
      </c>
      <c r="I402" s="4">
        <v>0</v>
      </c>
    </row>
    <row r="403" spans="1:9" x14ac:dyDescent="0.2">
      <c r="A403" s="2">
        <v>11</v>
      </c>
      <c r="B403" s="1" t="s">
        <v>154</v>
      </c>
      <c r="C403" s="4">
        <v>18</v>
      </c>
      <c r="D403" s="8">
        <v>2.39</v>
      </c>
      <c r="E403" s="4">
        <v>12</v>
      </c>
      <c r="F403" s="8">
        <v>2.78</v>
      </c>
      <c r="G403" s="4">
        <v>6</v>
      </c>
      <c r="H403" s="8">
        <v>1.94</v>
      </c>
      <c r="I403" s="4">
        <v>0</v>
      </c>
    </row>
    <row r="404" spans="1:9" x14ac:dyDescent="0.2">
      <c r="A404" s="2">
        <v>12</v>
      </c>
      <c r="B404" s="1" t="s">
        <v>137</v>
      </c>
      <c r="C404" s="4">
        <v>14</v>
      </c>
      <c r="D404" s="8">
        <v>1.86</v>
      </c>
      <c r="E404" s="4">
        <v>10</v>
      </c>
      <c r="F404" s="8">
        <v>2.31</v>
      </c>
      <c r="G404" s="4">
        <v>4</v>
      </c>
      <c r="H404" s="8">
        <v>1.29</v>
      </c>
      <c r="I404" s="4">
        <v>0</v>
      </c>
    </row>
    <row r="405" spans="1:9" x14ac:dyDescent="0.2">
      <c r="A405" s="2">
        <v>13</v>
      </c>
      <c r="B405" s="1" t="s">
        <v>136</v>
      </c>
      <c r="C405" s="4">
        <v>13</v>
      </c>
      <c r="D405" s="8">
        <v>1.72</v>
      </c>
      <c r="E405" s="4">
        <v>1</v>
      </c>
      <c r="F405" s="8">
        <v>0.23</v>
      </c>
      <c r="G405" s="4">
        <v>12</v>
      </c>
      <c r="H405" s="8">
        <v>3.87</v>
      </c>
      <c r="I405" s="4">
        <v>0</v>
      </c>
    </row>
    <row r="406" spans="1:9" x14ac:dyDescent="0.2">
      <c r="A406" s="2">
        <v>13</v>
      </c>
      <c r="B406" s="1" t="s">
        <v>166</v>
      </c>
      <c r="C406" s="4">
        <v>13</v>
      </c>
      <c r="D406" s="8">
        <v>1.72</v>
      </c>
      <c r="E406" s="4">
        <v>10</v>
      </c>
      <c r="F406" s="8">
        <v>2.31</v>
      </c>
      <c r="G406" s="4">
        <v>3</v>
      </c>
      <c r="H406" s="8">
        <v>0.97</v>
      </c>
      <c r="I406" s="4">
        <v>0</v>
      </c>
    </row>
    <row r="407" spans="1:9" x14ac:dyDescent="0.2">
      <c r="A407" s="2">
        <v>13</v>
      </c>
      <c r="B407" s="1" t="s">
        <v>141</v>
      </c>
      <c r="C407" s="4">
        <v>13</v>
      </c>
      <c r="D407" s="8">
        <v>1.72</v>
      </c>
      <c r="E407" s="4">
        <v>9</v>
      </c>
      <c r="F407" s="8">
        <v>2.08</v>
      </c>
      <c r="G407" s="4">
        <v>4</v>
      </c>
      <c r="H407" s="8">
        <v>1.29</v>
      </c>
      <c r="I407" s="4">
        <v>0</v>
      </c>
    </row>
    <row r="408" spans="1:9" x14ac:dyDescent="0.2">
      <c r="A408" s="2">
        <v>13</v>
      </c>
      <c r="B408" s="1" t="s">
        <v>170</v>
      </c>
      <c r="C408" s="4">
        <v>13</v>
      </c>
      <c r="D408" s="8">
        <v>1.72</v>
      </c>
      <c r="E408" s="4">
        <v>9</v>
      </c>
      <c r="F408" s="8">
        <v>2.08</v>
      </c>
      <c r="G408" s="4">
        <v>4</v>
      </c>
      <c r="H408" s="8">
        <v>1.29</v>
      </c>
      <c r="I408" s="4">
        <v>0</v>
      </c>
    </row>
    <row r="409" spans="1:9" x14ac:dyDescent="0.2">
      <c r="A409" s="2">
        <v>17</v>
      </c>
      <c r="B409" s="1" t="s">
        <v>139</v>
      </c>
      <c r="C409" s="4">
        <v>12</v>
      </c>
      <c r="D409" s="8">
        <v>1.59</v>
      </c>
      <c r="E409" s="4">
        <v>7</v>
      </c>
      <c r="F409" s="8">
        <v>1.62</v>
      </c>
      <c r="G409" s="4">
        <v>5</v>
      </c>
      <c r="H409" s="8">
        <v>1.61</v>
      </c>
      <c r="I409" s="4">
        <v>0</v>
      </c>
    </row>
    <row r="410" spans="1:9" x14ac:dyDescent="0.2">
      <c r="A410" s="2">
        <v>17</v>
      </c>
      <c r="B410" s="1" t="s">
        <v>142</v>
      </c>
      <c r="C410" s="4">
        <v>12</v>
      </c>
      <c r="D410" s="8">
        <v>1.59</v>
      </c>
      <c r="E410" s="4">
        <v>0</v>
      </c>
      <c r="F410" s="8">
        <v>0</v>
      </c>
      <c r="G410" s="4">
        <v>12</v>
      </c>
      <c r="H410" s="8">
        <v>3.87</v>
      </c>
      <c r="I410" s="4">
        <v>0</v>
      </c>
    </row>
    <row r="411" spans="1:9" x14ac:dyDescent="0.2">
      <c r="A411" s="2">
        <v>17</v>
      </c>
      <c r="B411" s="1" t="s">
        <v>146</v>
      </c>
      <c r="C411" s="4">
        <v>12</v>
      </c>
      <c r="D411" s="8">
        <v>1.59</v>
      </c>
      <c r="E411" s="4">
        <v>2</v>
      </c>
      <c r="F411" s="8">
        <v>0.46</v>
      </c>
      <c r="G411" s="4">
        <v>10</v>
      </c>
      <c r="H411" s="8">
        <v>3.23</v>
      </c>
      <c r="I411" s="4">
        <v>0</v>
      </c>
    </row>
    <row r="412" spans="1:9" x14ac:dyDescent="0.2">
      <c r="A412" s="2">
        <v>17</v>
      </c>
      <c r="B412" s="1" t="s">
        <v>152</v>
      </c>
      <c r="C412" s="4">
        <v>12</v>
      </c>
      <c r="D412" s="8">
        <v>1.59</v>
      </c>
      <c r="E412" s="4">
        <v>9</v>
      </c>
      <c r="F412" s="8">
        <v>2.08</v>
      </c>
      <c r="G412" s="4">
        <v>2</v>
      </c>
      <c r="H412" s="8">
        <v>0.65</v>
      </c>
      <c r="I412" s="4">
        <v>1</v>
      </c>
    </row>
    <row r="413" spans="1:9" x14ac:dyDescent="0.2">
      <c r="A413" s="1"/>
      <c r="C413" s="4"/>
      <c r="D413" s="8"/>
      <c r="E413" s="4"/>
      <c r="F413" s="8"/>
      <c r="G413" s="4"/>
      <c r="H413" s="8"/>
      <c r="I413" s="4"/>
    </row>
    <row r="414" spans="1:9" x14ac:dyDescent="0.2">
      <c r="A414" s="1" t="s">
        <v>18</v>
      </c>
      <c r="C414" s="4"/>
      <c r="D414" s="8"/>
      <c r="E414" s="4"/>
      <c r="F414" s="8"/>
      <c r="G414" s="4"/>
      <c r="H414" s="8"/>
      <c r="I414" s="4"/>
    </row>
    <row r="415" spans="1:9" x14ac:dyDescent="0.2">
      <c r="A415" s="2">
        <v>1</v>
      </c>
      <c r="B415" s="1" t="s">
        <v>151</v>
      </c>
      <c r="C415" s="4">
        <v>168</v>
      </c>
      <c r="D415" s="8">
        <v>6</v>
      </c>
      <c r="E415" s="4">
        <v>162</v>
      </c>
      <c r="F415" s="8">
        <v>8.56</v>
      </c>
      <c r="G415" s="4">
        <v>6</v>
      </c>
      <c r="H415" s="8">
        <v>0.74</v>
      </c>
      <c r="I415" s="4">
        <v>0</v>
      </c>
    </row>
    <row r="416" spans="1:9" x14ac:dyDescent="0.2">
      <c r="A416" s="2">
        <v>2</v>
      </c>
      <c r="B416" s="1" t="s">
        <v>150</v>
      </c>
      <c r="C416" s="4">
        <v>99</v>
      </c>
      <c r="D416" s="8">
        <v>3.54</v>
      </c>
      <c r="E416" s="4">
        <v>98</v>
      </c>
      <c r="F416" s="8">
        <v>5.18</v>
      </c>
      <c r="G416" s="4">
        <v>1</v>
      </c>
      <c r="H416" s="8">
        <v>0.12</v>
      </c>
      <c r="I416" s="4">
        <v>0</v>
      </c>
    </row>
    <row r="417" spans="1:9" x14ac:dyDescent="0.2">
      <c r="A417" s="2">
        <v>3</v>
      </c>
      <c r="B417" s="1" t="s">
        <v>140</v>
      </c>
      <c r="C417" s="4">
        <v>98</v>
      </c>
      <c r="D417" s="8">
        <v>3.5</v>
      </c>
      <c r="E417" s="4">
        <v>76</v>
      </c>
      <c r="F417" s="8">
        <v>4.01</v>
      </c>
      <c r="G417" s="4">
        <v>22</v>
      </c>
      <c r="H417" s="8">
        <v>2.7</v>
      </c>
      <c r="I417" s="4">
        <v>0</v>
      </c>
    </row>
    <row r="418" spans="1:9" x14ac:dyDescent="0.2">
      <c r="A418" s="2">
        <v>4</v>
      </c>
      <c r="B418" s="1" t="s">
        <v>143</v>
      </c>
      <c r="C418" s="4">
        <v>88</v>
      </c>
      <c r="D418" s="8">
        <v>3.14</v>
      </c>
      <c r="E418" s="4">
        <v>73</v>
      </c>
      <c r="F418" s="8">
        <v>3.86</v>
      </c>
      <c r="G418" s="4">
        <v>15</v>
      </c>
      <c r="H418" s="8">
        <v>1.84</v>
      </c>
      <c r="I418" s="4">
        <v>0</v>
      </c>
    </row>
    <row r="419" spans="1:9" x14ac:dyDescent="0.2">
      <c r="A419" s="2">
        <v>5</v>
      </c>
      <c r="B419" s="1" t="s">
        <v>145</v>
      </c>
      <c r="C419" s="4">
        <v>79</v>
      </c>
      <c r="D419" s="8">
        <v>2.82</v>
      </c>
      <c r="E419" s="4">
        <v>55</v>
      </c>
      <c r="F419" s="8">
        <v>2.91</v>
      </c>
      <c r="G419" s="4">
        <v>24</v>
      </c>
      <c r="H419" s="8">
        <v>2.94</v>
      </c>
      <c r="I419" s="4">
        <v>0</v>
      </c>
    </row>
    <row r="420" spans="1:9" x14ac:dyDescent="0.2">
      <c r="A420" s="2">
        <v>6</v>
      </c>
      <c r="B420" s="1" t="s">
        <v>147</v>
      </c>
      <c r="C420" s="4">
        <v>69</v>
      </c>
      <c r="D420" s="8">
        <v>2.46</v>
      </c>
      <c r="E420" s="4">
        <v>59</v>
      </c>
      <c r="F420" s="8">
        <v>3.12</v>
      </c>
      <c r="G420" s="4">
        <v>10</v>
      </c>
      <c r="H420" s="8">
        <v>1.23</v>
      </c>
      <c r="I420" s="4">
        <v>0</v>
      </c>
    </row>
    <row r="421" spans="1:9" x14ac:dyDescent="0.2">
      <c r="A421" s="2">
        <v>7</v>
      </c>
      <c r="B421" s="1" t="s">
        <v>135</v>
      </c>
      <c r="C421" s="4">
        <v>65</v>
      </c>
      <c r="D421" s="8">
        <v>2.3199999999999998</v>
      </c>
      <c r="E421" s="4">
        <v>16</v>
      </c>
      <c r="F421" s="8">
        <v>0.85</v>
      </c>
      <c r="G421" s="4">
        <v>49</v>
      </c>
      <c r="H421" s="8">
        <v>6.01</v>
      </c>
      <c r="I421" s="4">
        <v>0</v>
      </c>
    </row>
    <row r="422" spans="1:9" x14ac:dyDescent="0.2">
      <c r="A422" s="2">
        <v>8</v>
      </c>
      <c r="B422" s="1" t="s">
        <v>141</v>
      </c>
      <c r="C422" s="4">
        <v>60</v>
      </c>
      <c r="D422" s="8">
        <v>2.14</v>
      </c>
      <c r="E422" s="4">
        <v>50</v>
      </c>
      <c r="F422" s="8">
        <v>2.64</v>
      </c>
      <c r="G422" s="4">
        <v>10</v>
      </c>
      <c r="H422" s="8">
        <v>1.23</v>
      </c>
      <c r="I422" s="4">
        <v>0</v>
      </c>
    </row>
    <row r="423" spans="1:9" x14ac:dyDescent="0.2">
      <c r="A423" s="2">
        <v>9</v>
      </c>
      <c r="B423" s="1" t="s">
        <v>153</v>
      </c>
      <c r="C423" s="4">
        <v>56</v>
      </c>
      <c r="D423" s="8">
        <v>2</v>
      </c>
      <c r="E423" s="4">
        <v>53</v>
      </c>
      <c r="F423" s="8">
        <v>2.8</v>
      </c>
      <c r="G423" s="4">
        <v>3</v>
      </c>
      <c r="H423" s="8">
        <v>0.37</v>
      </c>
      <c r="I423" s="4">
        <v>0</v>
      </c>
    </row>
    <row r="424" spans="1:9" x14ac:dyDescent="0.2">
      <c r="A424" s="2">
        <v>10</v>
      </c>
      <c r="B424" s="1" t="s">
        <v>149</v>
      </c>
      <c r="C424" s="4">
        <v>54</v>
      </c>
      <c r="D424" s="8">
        <v>1.93</v>
      </c>
      <c r="E424" s="4">
        <v>51</v>
      </c>
      <c r="F424" s="8">
        <v>2.69</v>
      </c>
      <c r="G424" s="4">
        <v>3</v>
      </c>
      <c r="H424" s="8">
        <v>0.37</v>
      </c>
      <c r="I424" s="4">
        <v>0</v>
      </c>
    </row>
    <row r="425" spans="1:9" x14ac:dyDescent="0.2">
      <c r="A425" s="2">
        <v>10</v>
      </c>
      <c r="B425" s="1" t="s">
        <v>182</v>
      </c>
      <c r="C425" s="4">
        <v>54</v>
      </c>
      <c r="D425" s="8">
        <v>1.93</v>
      </c>
      <c r="E425" s="4">
        <v>0</v>
      </c>
      <c r="F425" s="8">
        <v>0</v>
      </c>
      <c r="G425" s="4">
        <v>1</v>
      </c>
      <c r="H425" s="8">
        <v>0.12</v>
      </c>
      <c r="I425" s="4">
        <v>52</v>
      </c>
    </row>
    <row r="426" spans="1:9" x14ac:dyDescent="0.2">
      <c r="A426" s="2">
        <v>12</v>
      </c>
      <c r="B426" s="1" t="s">
        <v>168</v>
      </c>
      <c r="C426" s="4">
        <v>52</v>
      </c>
      <c r="D426" s="8">
        <v>1.86</v>
      </c>
      <c r="E426" s="4">
        <v>20</v>
      </c>
      <c r="F426" s="8">
        <v>1.06</v>
      </c>
      <c r="G426" s="4">
        <v>32</v>
      </c>
      <c r="H426" s="8">
        <v>3.93</v>
      </c>
      <c r="I426" s="4">
        <v>0</v>
      </c>
    </row>
    <row r="427" spans="1:9" x14ac:dyDescent="0.2">
      <c r="A427" s="2">
        <v>13</v>
      </c>
      <c r="B427" s="1" t="s">
        <v>181</v>
      </c>
      <c r="C427" s="4">
        <v>48</v>
      </c>
      <c r="D427" s="8">
        <v>1.71</v>
      </c>
      <c r="E427" s="4">
        <v>39</v>
      </c>
      <c r="F427" s="8">
        <v>2.06</v>
      </c>
      <c r="G427" s="4">
        <v>9</v>
      </c>
      <c r="H427" s="8">
        <v>1.1000000000000001</v>
      </c>
      <c r="I427" s="4">
        <v>0</v>
      </c>
    </row>
    <row r="428" spans="1:9" x14ac:dyDescent="0.2">
      <c r="A428" s="2">
        <v>14</v>
      </c>
      <c r="B428" s="1" t="s">
        <v>166</v>
      </c>
      <c r="C428" s="4">
        <v>47</v>
      </c>
      <c r="D428" s="8">
        <v>1.68</v>
      </c>
      <c r="E428" s="4">
        <v>36</v>
      </c>
      <c r="F428" s="8">
        <v>1.9</v>
      </c>
      <c r="G428" s="4">
        <v>10</v>
      </c>
      <c r="H428" s="8">
        <v>1.23</v>
      </c>
      <c r="I428" s="4">
        <v>1</v>
      </c>
    </row>
    <row r="429" spans="1:9" x14ac:dyDescent="0.2">
      <c r="A429" s="2">
        <v>15</v>
      </c>
      <c r="B429" s="1" t="s">
        <v>167</v>
      </c>
      <c r="C429" s="4">
        <v>46</v>
      </c>
      <c r="D429" s="8">
        <v>1.64</v>
      </c>
      <c r="E429" s="4">
        <v>36</v>
      </c>
      <c r="F429" s="8">
        <v>1.9</v>
      </c>
      <c r="G429" s="4">
        <v>10</v>
      </c>
      <c r="H429" s="8">
        <v>1.23</v>
      </c>
      <c r="I429" s="4">
        <v>0</v>
      </c>
    </row>
    <row r="430" spans="1:9" x14ac:dyDescent="0.2">
      <c r="A430" s="2">
        <v>15</v>
      </c>
      <c r="B430" s="1" t="s">
        <v>154</v>
      </c>
      <c r="C430" s="4">
        <v>46</v>
      </c>
      <c r="D430" s="8">
        <v>1.64</v>
      </c>
      <c r="E430" s="4">
        <v>41</v>
      </c>
      <c r="F430" s="8">
        <v>2.17</v>
      </c>
      <c r="G430" s="4">
        <v>5</v>
      </c>
      <c r="H430" s="8">
        <v>0.61</v>
      </c>
      <c r="I430" s="4">
        <v>0</v>
      </c>
    </row>
    <row r="431" spans="1:9" x14ac:dyDescent="0.2">
      <c r="A431" s="2">
        <v>17</v>
      </c>
      <c r="B431" s="1" t="s">
        <v>138</v>
      </c>
      <c r="C431" s="4">
        <v>45</v>
      </c>
      <c r="D431" s="8">
        <v>1.61</v>
      </c>
      <c r="E431" s="4">
        <v>30</v>
      </c>
      <c r="F431" s="8">
        <v>1.58</v>
      </c>
      <c r="G431" s="4">
        <v>15</v>
      </c>
      <c r="H431" s="8">
        <v>1.84</v>
      </c>
      <c r="I431" s="4">
        <v>0</v>
      </c>
    </row>
    <row r="432" spans="1:9" x14ac:dyDescent="0.2">
      <c r="A432" s="2">
        <v>17</v>
      </c>
      <c r="B432" s="1" t="s">
        <v>148</v>
      </c>
      <c r="C432" s="4">
        <v>45</v>
      </c>
      <c r="D432" s="8">
        <v>1.61</v>
      </c>
      <c r="E432" s="4">
        <v>44</v>
      </c>
      <c r="F432" s="8">
        <v>2.3199999999999998</v>
      </c>
      <c r="G432" s="4">
        <v>1</v>
      </c>
      <c r="H432" s="8">
        <v>0.12</v>
      </c>
      <c r="I432" s="4">
        <v>0</v>
      </c>
    </row>
    <row r="433" spans="1:9" x14ac:dyDescent="0.2">
      <c r="A433" s="2">
        <v>19</v>
      </c>
      <c r="B433" s="1" t="s">
        <v>136</v>
      </c>
      <c r="C433" s="4">
        <v>42</v>
      </c>
      <c r="D433" s="8">
        <v>1.5</v>
      </c>
      <c r="E433" s="4">
        <v>23</v>
      </c>
      <c r="F433" s="8">
        <v>1.22</v>
      </c>
      <c r="G433" s="4">
        <v>19</v>
      </c>
      <c r="H433" s="8">
        <v>2.33</v>
      </c>
      <c r="I433" s="4">
        <v>0</v>
      </c>
    </row>
    <row r="434" spans="1:9" x14ac:dyDescent="0.2">
      <c r="A434" s="2">
        <v>19</v>
      </c>
      <c r="B434" s="1" t="s">
        <v>179</v>
      </c>
      <c r="C434" s="4">
        <v>42</v>
      </c>
      <c r="D434" s="8">
        <v>1.5</v>
      </c>
      <c r="E434" s="4">
        <v>39</v>
      </c>
      <c r="F434" s="8">
        <v>2.06</v>
      </c>
      <c r="G434" s="4">
        <v>2</v>
      </c>
      <c r="H434" s="8">
        <v>0.25</v>
      </c>
      <c r="I434" s="4">
        <v>1</v>
      </c>
    </row>
    <row r="435" spans="1:9" x14ac:dyDescent="0.2">
      <c r="A435" s="2">
        <v>19</v>
      </c>
      <c r="B435" s="1" t="s">
        <v>170</v>
      </c>
      <c r="C435" s="4">
        <v>42</v>
      </c>
      <c r="D435" s="8">
        <v>1.5</v>
      </c>
      <c r="E435" s="4">
        <v>39</v>
      </c>
      <c r="F435" s="8">
        <v>2.06</v>
      </c>
      <c r="G435" s="4">
        <v>3</v>
      </c>
      <c r="H435" s="8">
        <v>0.37</v>
      </c>
      <c r="I435" s="4">
        <v>0</v>
      </c>
    </row>
    <row r="436" spans="1:9" x14ac:dyDescent="0.2">
      <c r="A436" s="1"/>
      <c r="C436" s="4"/>
      <c r="D436" s="8"/>
      <c r="E436" s="4"/>
      <c r="F436" s="8"/>
      <c r="G436" s="4"/>
      <c r="H436" s="8"/>
      <c r="I436" s="4"/>
    </row>
    <row r="437" spans="1:9" x14ac:dyDescent="0.2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2">
      <c r="A438" s="2">
        <v>1</v>
      </c>
      <c r="B438" s="1" t="s">
        <v>151</v>
      </c>
      <c r="C438" s="4">
        <v>57</v>
      </c>
      <c r="D438" s="8">
        <v>6.45</v>
      </c>
      <c r="E438" s="4">
        <v>51</v>
      </c>
      <c r="F438" s="8">
        <v>12.59</v>
      </c>
      <c r="G438" s="4">
        <v>6</v>
      </c>
      <c r="H438" s="8">
        <v>1.28</v>
      </c>
      <c r="I438" s="4">
        <v>0</v>
      </c>
    </row>
    <row r="439" spans="1:9" x14ac:dyDescent="0.2">
      <c r="A439" s="2">
        <v>2</v>
      </c>
      <c r="B439" s="1" t="s">
        <v>150</v>
      </c>
      <c r="C439" s="4">
        <v>34</v>
      </c>
      <c r="D439" s="8">
        <v>3.85</v>
      </c>
      <c r="E439" s="4">
        <v>33</v>
      </c>
      <c r="F439" s="8">
        <v>8.15</v>
      </c>
      <c r="G439" s="4">
        <v>1</v>
      </c>
      <c r="H439" s="8">
        <v>0.21</v>
      </c>
      <c r="I439" s="4">
        <v>0</v>
      </c>
    </row>
    <row r="440" spans="1:9" x14ac:dyDescent="0.2">
      <c r="A440" s="2">
        <v>3</v>
      </c>
      <c r="B440" s="1" t="s">
        <v>152</v>
      </c>
      <c r="C440" s="4">
        <v>31</v>
      </c>
      <c r="D440" s="8">
        <v>3.51</v>
      </c>
      <c r="E440" s="4">
        <v>25</v>
      </c>
      <c r="F440" s="8">
        <v>6.17</v>
      </c>
      <c r="G440" s="4">
        <v>6</v>
      </c>
      <c r="H440" s="8">
        <v>1.28</v>
      </c>
      <c r="I440" s="4">
        <v>0</v>
      </c>
    </row>
    <row r="441" spans="1:9" x14ac:dyDescent="0.2">
      <c r="A441" s="2">
        <v>4</v>
      </c>
      <c r="B441" s="1" t="s">
        <v>153</v>
      </c>
      <c r="C441" s="4">
        <v>28</v>
      </c>
      <c r="D441" s="8">
        <v>3.17</v>
      </c>
      <c r="E441" s="4">
        <v>26</v>
      </c>
      <c r="F441" s="8">
        <v>6.42</v>
      </c>
      <c r="G441" s="4">
        <v>2</v>
      </c>
      <c r="H441" s="8">
        <v>0.43</v>
      </c>
      <c r="I441" s="4">
        <v>0</v>
      </c>
    </row>
    <row r="442" spans="1:9" x14ac:dyDescent="0.2">
      <c r="A442" s="2">
        <v>5</v>
      </c>
      <c r="B442" s="1" t="s">
        <v>135</v>
      </c>
      <c r="C442" s="4">
        <v>27</v>
      </c>
      <c r="D442" s="8">
        <v>3.05</v>
      </c>
      <c r="E442" s="4">
        <v>1</v>
      </c>
      <c r="F442" s="8">
        <v>0.25</v>
      </c>
      <c r="G442" s="4">
        <v>26</v>
      </c>
      <c r="H442" s="8">
        <v>5.56</v>
      </c>
      <c r="I442" s="4">
        <v>0</v>
      </c>
    </row>
    <row r="443" spans="1:9" x14ac:dyDescent="0.2">
      <c r="A443" s="2">
        <v>6</v>
      </c>
      <c r="B443" s="1" t="s">
        <v>141</v>
      </c>
      <c r="C443" s="4">
        <v>22</v>
      </c>
      <c r="D443" s="8">
        <v>2.4900000000000002</v>
      </c>
      <c r="E443" s="4">
        <v>11</v>
      </c>
      <c r="F443" s="8">
        <v>2.72</v>
      </c>
      <c r="G443" s="4">
        <v>11</v>
      </c>
      <c r="H443" s="8">
        <v>2.35</v>
      </c>
      <c r="I443" s="4">
        <v>0</v>
      </c>
    </row>
    <row r="444" spans="1:9" x14ac:dyDescent="0.2">
      <c r="A444" s="2">
        <v>6</v>
      </c>
      <c r="B444" s="1" t="s">
        <v>145</v>
      </c>
      <c r="C444" s="4">
        <v>22</v>
      </c>
      <c r="D444" s="8">
        <v>2.4900000000000002</v>
      </c>
      <c r="E444" s="4">
        <v>1</v>
      </c>
      <c r="F444" s="8">
        <v>0.25</v>
      </c>
      <c r="G444" s="4">
        <v>21</v>
      </c>
      <c r="H444" s="8">
        <v>4.49</v>
      </c>
      <c r="I444" s="4">
        <v>0</v>
      </c>
    </row>
    <row r="445" spans="1:9" x14ac:dyDescent="0.2">
      <c r="A445" s="2">
        <v>6</v>
      </c>
      <c r="B445" s="1" t="s">
        <v>148</v>
      </c>
      <c r="C445" s="4">
        <v>22</v>
      </c>
      <c r="D445" s="8">
        <v>2.4900000000000002</v>
      </c>
      <c r="E445" s="4">
        <v>20</v>
      </c>
      <c r="F445" s="8">
        <v>4.9400000000000004</v>
      </c>
      <c r="G445" s="4">
        <v>2</v>
      </c>
      <c r="H445" s="8">
        <v>0.43</v>
      </c>
      <c r="I445" s="4">
        <v>0</v>
      </c>
    </row>
    <row r="446" spans="1:9" x14ac:dyDescent="0.2">
      <c r="A446" s="2">
        <v>9</v>
      </c>
      <c r="B446" s="1" t="s">
        <v>138</v>
      </c>
      <c r="C446" s="4">
        <v>21</v>
      </c>
      <c r="D446" s="8">
        <v>2.38</v>
      </c>
      <c r="E446" s="4">
        <v>6</v>
      </c>
      <c r="F446" s="8">
        <v>1.48</v>
      </c>
      <c r="G446" s="4">
        <v>15</v>
      </c>
      <c r="H446" s="8">
        <v>3.21</v>
      </c>
      <c r="I446" s="4">
        <v>0</v>
      </c>
    </row>
    <row r="447" spans="1:9" x14ac:dyDescent="0.2">
      <c r="A447" s="2">
        <v>10</v>
      </c>
      <c r="B447" s="1" t="s">
        <v>142</v>
      </c>
      <c r="C447" s="4">
        <v>20</v>
      </c>
      <c r="D447" s="8">
        <v>2.2599999999999998</v>
      </c>
      <c r="E447" s="4">
        <v>5</v>
      </c>
      <c r="F447" s="8">
        <v>1.23</v>
      </c>
      <c r="G447" s="4">
        <v>15</v>
      </c>
      <c r="H447" s="8">
        <v>3.21</v>
      </c>
      <c r="I447" s="4">
        <v>0</v>
      </c>
    </row>
    <row r="448" spans="1:9" x14ac:dyDescent="0.2">
      <c r="A448" s="2">
        <v>11</v>
      </c>
      <c r="B448" s="1" t="s">
        <v>163</v>
      </c>
      <c r="C448" s="4">
        <v>18</v>
      </c>
      <c r="D448" s="8">
        <v>2.04</v>
      </c>
      <c r="E448" s="4">
        <v>3</v>
      </c>
      <c r="F448" s="8">
        <v>0.74</v>
      </c>
      <c r="G448" s="4">
        <v>15</v>
      </c>
      <c r="H448" s="8">
        <v>3.21</v>
      </c>
      <c r="I448" s="4">
        <v>0</v>
      </c>
    </row>
    <row r="449" spans="1:9" x14ac:dyDescent="0.2">
      <c r="A449" s="2">
        <v>12</v>
      </c>
      <c r="B449" s="1" t="s">
        <v>166</v>
      </c>
      <c r="C449" s="4">
        <v>17</v>
      </c>
      <c r="D449" s="8">
        <v>1.92</v>
      </c>
      <c r="E449" s="4">
        <v>11</v>
      </c>
      <c r="F449" s="8">
        <v>2.72</v>
      </c>
      <c r="G449" s="4">
        <v>6</v>
      </c>
      <c r="H449" s="8">
        <v>1.28</v>
      </c>
      <c r="I449" s="4">
        <v>0</v>
      </c>
    </row>
    <row r="450" spans="1:9" x14ac:dyDescent="0.2">
      <c r="A450" s="2">
        <v>13</v>
      </c>
      <c r="B450" s="1" t="s">
        <v>140</v>
      </c>
      <c r="C450" s="4">
        <v>16</v>
      </c>
      <c r="D450" s="8">
        <v>1.81</v>
      </c>
      <c r="E450" s="4">
        <v>9</v>
      </c>
      <c r="F450" s="8">
        <v>2.2200000000000002</v>
      </c>
      <c r="G450" s="4">
        <v>7</v>
      </c>
      <c r="H450" s="8">
        <v>1.5</v>
      </c>
      <c r="I450" s="4">
        <v>0</v>
      </c>
    </row>
    <row r="451" spans="1:9" x14ac:dyDescent="0.2">
      <c r="A451" s="2">
        <v>14</v>
      </c>
      <c r="B451" s="1" t="s">
        <v>162</v>
      </c>
      <c r="C451" s="4">
        <v>15</v>
      </c>
      <c r="D451" s="8">
        <v>1.7</v>
      </c>
      <c r="E451" s="4">
        <v>3</v>
      </c>
      <c r="F451" s="8">
        <v>0.74</v>
      </c>
      <c r="G451" s="4">
        <v>12</v>
      </c>
      <c r="H451" s="8">
        <v>2.56</v>
      </c>
      <c r="I451" s="4">
        <v>0</v>
      </c>
    </row>
    <row r="452" spans="1:9" x14ac:dyDescent="0.2">
      <c r="A452" s="2">
        <v>14</v>
      </c>
      <c r="B452" s="1" t="s">
        <v>183</v>
      </c>
      <c r="C452" s="4">
        <v>15</v>
      </c>
      <c r="D452" s="8">
        <v>1.7</v>
      </c>
      <c r="E452" s="4">
        <v>2</v>
      </c>
      <c r="F452" s="8">
        <v>0.49</v>
      </c>
      <c r="G452" s="4">
        <v>13</v>
      </c>
      <c r="H452" s="8">
        <v>2.78</v>
      </c>
      <c r="I452" s="4">
        <v>0</v>
      </c>
    </row>
    <row r="453" spans="1:9" x14ac:dyDescent="0.2">
      <c r="A453" s="2">
        <v>14</v>
      </c>
      <c r="B453" s="1" t="s">
        <v>172</v>
      </c>
      <c r="C453" s="4">
        <v>15</v>
      </c>
      <c r="D453" s="8">
        <v>1.7</v>
      </c>
      <c r="E453" s="4">
        <v>11</v>
      </c>
      <c r="F453" s="8">
        <v>2.72</v>
      </c>
      <c r="G453" s="4">
        <v>4</v>
      </c>
      <c r="H453" s="8">
        <v>0.85</v>
      </c>
      <c r="I453" s="4">
        <v>0</v>
      </c>
    </row>
    <row r="454" spans="1:9" x14ac:dyDescent="0.2">
      <c r="A454" s="2">
        <v>17</v>
      </c>
      <c r="B454" s="1" t="s">
        <v>143</v>
      </c>
      <c r="C454" s="4">
        <v>13</v>
      </c>
      <c r="D454" s="8">
        <v>1.47</v>
      </c>
      <c r="E454" s="4">
        <v>8</v>
      </c>
      <c r="F454" s="8">
        <v>1.98</v>
      </c>
      <c r="G454" s="4">
        <v>5</v>
      </c>
      <c r="H454" s="8">
        <v>1.07</v>
      </c>
      <c r="I454" s="4">
        <v>0</v>
      </c>
    </row>
    <row r="455" spans="1:9" x14ac:dyDescent="0.2">
      <c r="A455" s="2">
        <v>17</v>
      </c>
      <c r="B455" s="1" t="s">
        <v>147</v>
      </c>
      <c r="C455" s="4">
        <v>13</v>
      </c>
      <c r="D455" s="8">
        <v>1.47</v>
      </c>
      <c r="E455" s="4">
        <v>11</v>
      </c>
      <c r="F455" s="8">
        <v>2.72</v>
      </c>
      <c r="G455" s="4">
        <v>2</v>
      </c>
      <c r="H455" s="8">
        <v>0.43</v>
      </c>
      <c r="I455" s="4">
        <v>0</v>
      </c>
    </row>
    <row r="456" spans="1:9" x14ac:dyDescent="0.2">
      <c r="A456" s="2">
        <v>17</v>
      </c>
      <c r="B456" s="1" t="s">
        <v>154</v>
      </c>
      <c r="C456" s="4">
        <v>13</v>
      </c>
      <c r="D456" s="8">
        <v>1.47</v>
      </c>
      <c r="E456" s="4">
        <v>11</v>
      </c>
      <c r="F456" s="8">
        <v>2.72</v>
      </c>
      <c r="G456" s="4">
        <v>2</v>
      </c>
      <c r="H456" s="8">
        <v>0.43</v>
      </c>
      <c r="I456" s="4">
        <v>0</v>
      </c>
    </row>
    <row r="457" spans="1:9" x14ac:dyDescent="0.2">
      <c r="A457" s="2">
        <v>20</v>
      </c>
      <c r="B457" s="1" t="s">
        <v>137</v>
      </c>
      <c r="C457" s="4">
        <v>12</v>
      </c>
      <c r="D457" s="8">
        <v>1.36</v>
      </c>
      <c r="E457" s="4">
        <v>5</v>
      </c>
      <c r="F457" s="8">
        <v>1.23</v>
      </c>
      <c r="G457" s="4">
        <v>7</v>
      </c>
      <c r="H457" s="8">
        <v>1.5</v>
      </c>
      <c r="I457" s="4">
        <v>0</v>
      </c>
    </row>
    <row r="458" spans="1:9" x14ac:dyDescent="0.2">
      <c r="A458" s="1"/>
      <c r="C458" s="4"/>
      <c r="D458" s="8"/>
      <c r="E458" s="4"/>
      <c r="F458" s="8"/>
      <c r="G458" s="4"/>
      <c r="H458" s="8"/>
      <c r="I458" s="4"/>
    </row>
    <row r="459" spans="1:9" x14ac:dyDescent="0.2">
      <c r="A459" s="1" t="s">
        <v>20</v>
      </c>
      <c r="C459" s="4"/>
      <c r="D459" s="8"/>
      <c r="E459" s="4"/>
      <c r="F459" s="8"/>
      <c r="G459" s="4"/>
      <c r="H459" s="8"/>
      <c r="I459" s="4"/>
    </row>
    <row r="460" spans="1:9" x14ac:dyDescent="0.2">
      <c r="A460" s="2">
        <v>1</v>
      </c>
      <c r="B460" s="1" t="s">
        <v>150</v>
      </c>
      <c r="C460" s="4">
        <v>14</v>
      </c>
      <c r="D460" s="8">
        <v>6.25</v>
      </c>
      <c r="E460" s="4">
        <v>14</v>
      </c>
      <c r="F460" s="8">
        <v>9.66</v>
      </c>
      <c r="G460" s="4">
        <v>0</v>
      </c>
      <c r="H460" s="8">
        <v>0</v>
      </c>
      <c r="I460" s="4">
        <v>0</v>
      </c>
    </row>
    <row r="461" spans="1:9" x14ac:dyDescent="0.2">
      <c r="A461" s="2">
        <v>2</v>
      </c>
      <c r="B461" s="1" t="s">
        <v>135</v>
      </c>
      <c r="C461" s="4">
        <v>13</v>
      </c>
      <c r="D461" s="8">
        <v>5.8</v>
      </c>
      <c r="E461" s="4">
        <v>1</v>
      </c>
      <c r="F461" s="8">
        <v>0.69</v>
      </c>
      <c r="G461" s="4">
        <v>12</v>
      </c>
      <c r="H461" s="8">
        <v>15.79</v>
      </c>
      <c r="I461" s="4">
        <v>0</v>
      </c>
    </row>
    <row r="462" spans="1:9" x14ac:dyDescent="0.2">
      <c r="A462" s="2">
        <v>2</v>
      </c>
      <c r="B462" s="1" t="s">
        <v>151</v>
      </c>
      <c r="C462" s="4">
        <v>13</v>
      </c>
      <c r="D462" s="8">
        <v>5.8</v>
      </c>
      <c r="E462" s="4">
        <v>13</v>
      </c>
      <c r="F462" s="8">
        <v>8.9700000000000006</v>
      </c>
      <c r="G462" s="4">
        <v>0</v>
      </c>
      <c r="H462" s="8">
        <v>0</v>
      </c>
      <c r="I462" s="4">
        <v>0</v>
      </c>
    </row>
    <row r="463" spans="1:9" x14ac:dyDescent="0.2">
      <c r="A463" s="2">
        <v>4</v>
      </c>
      <c r="B463" s="1" t="s">
        <v>137</v>
      </c>
      <c r="C463" s="4">
        <v>9</v>
      </c>
      <c r="D463" s="8">
        <v>4.0199999999999996</v>
      </c>
      <c r="E463" s="4">
        <v>7</v>
      </c>
      <c r="F463" s="8">
        <v>4.83</v>
      </c>
      <c r="G463" s="4">
        <v>2</v>
      </c>
      <c r="H463" s="8">
        <v>2.63</v>
      </c>
      <c r="I463" s="4">
        <v>0</v>
      </c>
    </row>
    <row r="464" spans="1:9" x14ac:dyDescent="0.2">
      <c r="A464" s="2">
        <v>4</v>
      </c>
      <c r="B464" s="1" t="s">
        <v>140</v>
      </c>
      <c r="C464" s="4">
        <v>9</v>
      </c>
      <c r="D464" s="8">
        <v>4.0199999999999996</v>
      </c>
      <c r="E464" s="4">
        <v>7</v>
      </c>
      <c r="F464" s="8">
        <v>4.83</v>
      </c>
      <c r="G464" s="4">
        <v>2</v>
      </c>
      <c r="H464" s="8">
        <v>2.63</v>
      </c>
      <c r="I464" s="4">
        <v>0</v>
      </c>
    </row>
    <row r="465" spans="1:9" x14ac:dyDescent="0.2">
      <c r="A465" s="2">
        <v>6</v>
      </c>
      <c r="B465" s="1" t="s">
        <v>141</v>
      </c>
      <c r="C465" s="4">
        <v>7</v>
      </c>
      <c r="D465" s="8">
        <v>3.13</v>
      </c>
      <c r="E465" s="4">
        <v>4</v>
      </c>
      <c r="F465" s="8">
        <v>2.76</v>
      </c>
      <c r="G465" s="4">
        <v>3</v>
      </c>
      <c r="H465" s="8">
        <v>3.95</v>
      </c>
      <c r="I465" s="4">
        <v>0</v>
      </c>
    </row>
    <row r="466" spans="1:9" x14ac:dyDescent="0.2">
      <c r="A466" s="2">
        <v>6</v>
      </c>
      <c r="B466" s="1" t="s">
        <v>168</v>
      </c>
      <c r="C466" s="4">
        <v>7</v>
      </c>
      <c r="D466" s="8">
        <v>3.13</v>
      </c>
      <c r="E466" s="4">
        <v>4</v>
      </c>
      <c r="F466" s="8">
        <v>2.76</v>
      </c>
      <c r="G466" s="4">
        <v>3</v>
      </c>
      <c r="H466" s="8">
        <v>3.95</v>
      </c>
      <c r="I466" s="4">
        <v>0</v>
      </c>
    </row>
    <row r="467" spans="1:9" x14ac:dyDescent="0.2">
      <c r="A467" s="2">
        <v>8</v>
      </c>
      <c r="B467" s="1" t="s">
        <v>136</v>
      </c>
      <c r="C467" s="4">
        <v>6</v>
      </c>
      <c r="D467" s="8">
        <v>2.68</v>
      </c>
      <c r="E467" s="4">
        <v>2</v>
      </c>
      <c r="F467" s="8">
        <v>1.38</v>
      </c>
      <c r="G467" s="4">
        <v>4</v>
      </c>
      <c r="H467" s="8">
        <v>5.26</v>
      </c>
      <c r="I467" s="4">
        <v>0</v>
      </c>
    </row>
    <row r="468" spans="1:9" x14ac:dyDescent="0.2">
      <c r="A468" s="2">
        <v>8</v>
      </c>
      <c r="B468" s="1" t="s">
        <v>138</v>
      </c>
      <c r="C468" s="4">
        <v>6</v>
      </c>
      <c r="D468" s="8">
        <v>2.68</v>
      </c>
      <c r="E468" s="4">
        <v>4</v>
      </c>
      <c r="F468" s="8">
        <v>2.76</v>
      </c>
      <c r="G468" s="4">
        <v>2</v>
      </c>
      <c r="H468" s="8">
        <v>2.63</v>
      </c>
      <c r="I468" s="4">
        <v>0</v>
      </c>
    </row>
    <row r="469" spans="1:9" x14ac:dyDescent="0.2">
      <c r="A469" s="2">
        <v>8</v>
      </c>
      <c r="B469" s="1" t="s">
        <v>154</v>
      </c>
      <c r="C469" s="4">
        <v>6</v>
      </c>
      <c r="D469" s="8">
        <v>2.68</v>
      </c>
      <c r="E469" s="4">
        <v>5</v>
      </c>
      <c r="F469" s="8">
        <v>3.45</v>
      </c>
      <c r="G469" s="4">
        <v>1</v>
      </c>
      <c r="H469" s="8">
        <v>1.32</v>
      </c>
      <c r="I469" s="4">
        <v>0</v>
      </c>
    </row>
    <row r="470" spans="1:9" x14ac:dyDescent="0.2">
      <c r="A470" s="2">
        <v>11</v>
      </c>
      <c r="B470" s="1" t="s">
        <v>184</v>
      </c>
      <c r="C470" s="4">
        <v>5</v>
      </c>
      <c r="D470" s="8">
        <v>2.23</v>
      </c>
      <c r="E470" s="4">
        <v>4</v>
      </c>
      <c r="F470" s="8">
        <v>2.76</v>
      </c>
      <c r="G470" s="4">
        <v>1</v>
      </c>
      <c r="H470" s="8">
        <v>1.32</v>
      </c>
      <c r="I470" s="4">
        <v>0</v>
      </c>
    </row>
    <row r="471" spans="1:9" x14ac:dyDescent="0.2">
      <c r="A471" s="2">
        <v>11</v>
      </c>
      <c r="B471" s="1" t="s">
        <v>148</v>
      </c>
      <c r="C471" s="4">
        <v>5</v>
      </c>
      <c r="D471" s="8">
        <v>2.23</v>
      </c>
      <c r="E471" s="4">
        <v>5</v>
      </c>
      <c r="F471" s="8">
        <v>3.45</v>
      </c>
      <c r="G471" s="4">
        <v>0</v>
      </c>
      <c r="H471" s="8">
        <v>0</v>
      </c>
      <c r="I471" s="4">
        <v>0</v>
      </c>
    </row>
    <row r="472" spans="1:9" x14ac:dyDescent="0.2">
      <c r="A472" s="2">
        <v>13</v>
      </c>
      <c r="B472" s="1" t="s">
        <v>185</v>
      </c>
      <c r="C472" s="4">
        <v>4</v>
      </c>
      <c r="D472" s="8">
        <v>1.79</v>
      </c>
      <c r="E472" s="4">
        <v>4</v>
      </c>
      <c r="F472" s="8">
        <v>2.76</v>
      </c>
      <c r="G472" s="4">
        <v>0</v>
      </c>
      <c r="H472" s="8">
        <v>0</v>
      </c>
      <c r="I472" s="4">
        <v>0</v>
      </c>
    </row>
    <row r="473" spans="1:9" x14ac:dyDescent="0.2">
      <c r="A473" s="2">
        <v>13</v>
      </c>
      <c r="B473" s="1" t="s">
        <v>186</v>
      </c>
      <c r="C473" s="4">
        <v>4</v>
      </c>
      <c r="D473" s="8">
        <v>1.79</v>
      </c>
      <c r="E473" s="4">
        <v>1</v>
      </c>
      <c r="F473" s="8">
        <v>0.69</v>
      </c>
      <c r="G473" s="4">
        <v>3</v>
      </c>
      <c r="H473" s="8">
        <v>3.95</v>
      </c>
      <c r="I473" s="4">
        <v>0</v>
      </c>
    </row>
    <row r="474" spans="1:9" x14ac:dyDescent="0.2">
      <c r="A474" s="2">
        <v>13</v>
      </c>
      <c r="B474" s="1" t="s">
        <v>142</v>
      </c>
      <c r="C474" s="4">
        <v>4</v>
      </c>
      <c r="D474" s="8">
        <v>1.79</v>
      </c>
      <c r="E474" s="4">
        <v>1</v>
      </c>
      <c r="F474" s="8">
        <v>0.69</v>
      </c>
      <c r="G474" s="4">
        <v>3</v>
      </c>
      <c r="H474" s="8">
        <v>3.95</v>
      </c>
      <c r="I474" s="4">
        <v>0</v>
      </c>
    </row>
    <row r="475" spans="1:9" x14ac:dyDescent="0.2">
      <c r="A475" s="2">
        <v>13</v>
      </c>
      <c r="B475" s="1" t="s">
        <v>143</v>
      </c>
      <c r="C475" s="4">
        <v>4</v>
      </c>
      <c r="D475" s="8">
        <v>1.79</v>
      </c>
      <c r="E475" s="4">
        <v>2</v>
      </c>
      <c r="F475" s="8">
        <v>1.38</v>
      </c>
      <c r="G475" s="4">
        <v>2</v>
      </c>
      <c r="H475" s="8">
        <v>2.63</v>
      </c>
      <c r="I475" s="4">
        <v>0</v>
      </c>
    </row>
    <row r="476" spans="1:9" x14ac:dyDescent="0.2">
      <c r="A476" s="2">
        <v>13</v>
      </c>
      <c r="B476" s="1" t="s">
        <v>147</v>
      </c>
      <c r="C476" s="4">
        <v>4</v>
      </c>
      <c r="D476" s="8">
        <v>1.79</v>
      </c>
      <c r="E476" s="4">
        <v>2</v>
      </c>
      <c r="F476" s="8">
        <v>1.38</v>
      </c>
      <c r="G476" s="4">
        <v>2</v>
      </c>
      <c r="H476" s="8">
        <v>2.63</v>
      </c>
      <c r="I476" s="4">
        <v>0</v>
      </c>
    </row>
    <row r="477" spans="1:9" x14ac:dyDescent="0.2">
      <c r="A477" s="2">
        <v>13</v>
      </c>
      <c r="B477" s="1" t="s">
        <v>187</v>
      </c>
      <c r="C477" s="4">
        <v>4</v>
      </c>
      <c r="D477" s="8">
        <v>1.79</v>
      </c>
      <c r="E477" s="4">
        <v>2</v>
      </c>
      <c r="F477" s="8">
        <v>1.38</v>
      </c>
      <c r="G477" s="4">
        <v>2</v>
      </c>
      <c r="H477" s="8">
        <v>2.63</v>
      </c>
      <c r="I477" s="4">
        <v>0</v>
      </c>
    </row>
    <row r="478" spans="1:9" x14ac:dyDescent="0.2">
      <c r="A478" s="2">
        <v>13</v>
      </c>
      <c r="B478" s="1" t="s">
        <v>152</v>
      </c>
      <c r="C478" s="4">
        <v>4</v>
      </c>
      <c r="D478" s="8">
        <v>1.79</v>
      </c>
      <c r="E478" s="4">
        <v>4</v>
      </c>
      <c r="F478" s="8">
        <v>2.76</v>
      </c>
      <c r="G478" s="4">
        <v>0</v>
      </c>
      <c r="H478" s="8">
        <v>0</v>
      </c>
      <c r="I478" s="4">
        <v>0</v>
      </c>
    </row>
    <row r="479" spans="1:9" x14ac:dyDescent="0.2">
      <c r="A479" s="2">
        <v>13</v>
      </c>
      <c r="B479" s="1" t="s">
        <v>153</v>
      </c>
      <c r="C479" s="4">
        <v>4</v>
      </c>
      <c r="D479" s="8">
        <v>1.79</v>
      </c>
      <c r="E479" s="4">
        <v>3</v>
      </c>
      <c r="F479" s="8">
        <v>2.0699999999999998</v>
      </c>
      <c r="G479" s="4">
        <v>1</v>
      </c>
      <c r="H479" s="8">
        <v>1.32</v>
      </c>
      <c r="I479" s="4">
        <v>0</v>
      </c>
    </row>
    <row r="480" spans="1:9" x14ac:dyDescent="0.2">
      <c r="A480" s="1"/>
      <c r="C480" s="4"/>
      <c r="D480" s="8"/>
      <c r="E480" s="4"/>
      <c r="F480" s="8"/>
      <c r="G480" s="4"/>
      <c r="H480" s="8"/>
      <c r="I480" s="4"/>
    </row>
    <row r="481" spans="1:9" x14ac:dyDescent="0.2">
      <c r="A481" s="1" t="s">
        <v>21</v>
      </c>
      <c r="C481" s="4"/>
      <c r="D481" s="8"/>
      <c r="E481" s="4"/>
      <c r="F481" s="8"/>
      <c r="G481" s="4"/>
      <c r="H481" s="8"/>
      <c r="I481" s="4"/>
    </row>
    <row r="482" spans="1:9" x14ac:dyDescent="0.2">
      <c r="A482" s="2">
        <v>1</v>
      </c>
      <c r="B482" s="1" t="s">
        <v>135</v>
      </c>
      <c r="C482" s="4">
        <v>7</v>
      </c>
      <c r="D482" s="8">
        <v>7</v>
      </c>
      <c r="E482" s="4">
        <v>2</v>
      </c>
      <c r="F482" s="8">
        <v>3.57</v>
      </c>
      <c r="G482" s="4">
        <v>5</v>
      </c>
      <c r="H482" s="8">
        <v>11.9</v>
      </c>
      <c r="I482" s="4">
        <v>0</v>
      </c>
    </row>
    <row r="483" spans="1:9" x14ac:dyDescent="0.2">
      <c r="A483" s="2">
        <v>2</v>
      </c>
      <c r="B483" s="1" t="s">
        <v>151</v>
      </c>
      <c r="C483" s="4">
        <v>6</v>
      </c>
      <c r="D483" s="8">
        <v>6</v>
      </c>
      <c r="E483" s="4">
        <v>6</v>
      </c>
      <c r="F483" s="8">
        <v>10.71</v>
      </c>
      <c r="G483" s="4">
        <v>0</v>
      </c>
      <c r="H483" s="8">
        <v>0</v>
      </c>
      <c r="I483" s="4">
        <v>0</v>
      </c>
    </row>
    <row r="484" spans="1:9" x14ac:dyDescent="0.2">
      <c r="A484" s="2">
        <v>2</v>
      </c>
      <c r="B484" s="1" t="s">
        <v>153</v>
      </c>
      <c r="C484" s="4">
        <v>6</v>
      </c>
      <c r="D484" s="8">
        <v>6</v>
      </c>
      <c r="E484" s="4">
        <v>6</v>
      </c>
      <c r="F484" s="8">
        <v>10.71</v>
      </c>
      <c r="G484" s="4">
        <v>0</v>
      </c>
      <c r="H484" s="8">
        <v>0</v>
      </c>
      <c r="I484" s="4">
        <v>0</v>
      </c>
    </row>
    <row r="485" spans="1:9" x14ac:dyDescent="0.2">
      <c r="A485" s="2">
        <v>4</v>
      </c>
      <c r="B485" s="1" t="s">
        <v>137</v>
      </c>
      <c r="C485" s="4">
        <v>5</v>
      </c>
      <c r="D485" s="8">
        <v>5</v>
      </c>
      <c r="E485" s="4">
        <v>3</v>
      </c>
      <c r="F485" s="8">
        <v>5.36</v>
      </c>
      <c r="G485" s="4">
        <v>2</v>
      </c>
      <c r="H485" s="8">
        <v>4.76</v>
      </c>
      <c r="I485" s="4">
        <v>0</v>
      </c>
    </row>
    <row r="486" spans="1:9" x14ac:dyDescent="0.2">
      <c r="A486" s="2">
        <v>4</v>
      </c>
      <c r="B486" s="1" t="s">
        <v>150</v>
      </c>
      <c r="C486" s="4">
        <v>5</v>
      </c>
      <c r="D486" s="8">
        <v>5</v>
      </c>
      <c r="E486" s="4">
        <v>5</v>
      </c>
      <c r="F486" s="8">
        <v>8.93</v>
      </c>
      <c r="G486" s="4">
        <v>0</v>
      </c>
      <c r="H486" s="8">
        <v>0</v>
      </c>
      <c r="I486" s="4">
        <v>0</v>
      </c>
    </row>
    <row r="487" spans="1:9" x14ac:dyDescent="0.2">
      <c r="A487" s="2">
        <v>4</v>
      </c>
      <c r="B487" s="1" t="s">
        <v>154</v>
      </c>
      <c r="C487" s="4">
        <v>5</v>
      </c>
      <c r="D487" s="8">
        <v>5</v>
      </c>
      <c r="E487" s="4">
        <v>2</v>
      </c>
      <c r="F487" s="8">
        <v>3.57</v>
      </c>
      <c r="G487" s="4">
        <v>3</v>
      </c>
      <c r="H487" s="8">
        <v>7.14</v>
      </c>
      <c r="I487" s="4">
        <v>0</v>
      </c>
    </row>
    <row r="488" spans="1:9" x14ac:dyDescent="0.2">
      <c r="A488" s="2">
        <v>7</v>
      </c>
      <c r="B488" s="1" t="s">
        <v>145</v>
      </c>
      <c r="C488" s="4">
        <v>4</v>
      </c>
      <c r="D488" s="8">
        <v>4</v>
      </c>
      <c r="E488" s="4">
        <v>3</v>
      </c>
      <c r="F488" s="8">
        <v>5.36</v>
      </c>
      <c r="G488" s="4">
        <v>1</v>
      </c>
      <c r="H488" s="8">
        <v>2.38</v>
      </c>
      <c r="I488" s="4">
        <v>0</v>
      </c>
    </row>
    <row r="489" spans="1:9" x14ac:dyDescent="0.2">
      <c r="A489" s="2">
        <v>8</v>
      </c>
      <c r="B489" s="1" t="s">
        <v>173</v>
      </c>
      <c r="C489" s="4">
        <v>3</v>
      </c>
      <c r="D489" s="8">
        <v>3</v>
      </c>
      <c r="E489" s="4">
        <v>1</v>
      </c>
      <c r="F489" s="8">
        <v>1.79</v>
      </c>
      <c r="G489" s="4">
        <v>2</v>
      </c>
      <c r="H489" s="8">
        <v>4.76</v>
      </c>
      <c r="I489" s="4">
        <v>0</v>
      </c>
    </row>
    <row r="490" spans="1:9" x14ac:dyDescent="0.2">
      <c r="A490" s="2">
        <v>8</v>
      </c>
      <c r="B490" s="1" t="s">
        <v>166</v>
      </c>
      <c r="C490" s="4">
        <v>3</v>
      </c>
      <c r="D490" s="8">
        <v>3</v>
      </c>
      <c r="E490" s="4">
        <v>2</v>
      </c>
      <c r="F490" s="8">
        <v>3.57</v>
      </c>
      <c r="G490" s="4">
        <v>1</v>
      </c>
      <c r="H490" s="8">
        <v>2.38</v>
      </c>
      <c r="I490" s="4">
        <v>0</v>
      </c>
    </row>
    <row r="491" spans="1:9" x14ac:dyDescent="0.2">
      <c r="A491" s="2">
        <v>8</v>
      </c>
      <c r="B491" s="1" t="s">
        <v>168</v>
      </c>
      <c r="C491" s="4">
        <v>3</v>
      </c>
      <c r="D491" s="8">
        <v>3</v>
      </c>
      <c r="E491" s="4">
        <v>1</v>
      </c>
      <c r="F491" s="8">
        <v>1.79</v>
      </c>
      <c r="G491" s="4">
        <v>2</v>
      </c>
      <c r="H491" s="8">
        <v>4.76</v>
      </c>
      <c r="I491" s="4">
        <v>0</v>
      </c>
    </row>
    <row r="492" spans="1:9" x14ac:dyDescent="0.2">
      <c r="A492" s="2">
        <v>11</v>
      </c>
      <c r="B492" s="1" t="s">
        <v>140</v>
      </c>
      <c r="C492" s="4">
        <v>2</v>
      </c>
      <c r="D492" s="8">
        <v>2</v>
      </c>
      <c r="E492" s="4">
        <v>2</v>
      </c>
      <c r="F492" s="8">
        <v>3.57</v>
      </c>
      <c r="G492" s="4">
        <v>0</v>
      </c>
      <c r="H492" s="8">
        <v>0</v>
      </c>
      <c r="I492" s="4">
        <v>0</v>
      </c>
    </row>
    <row r="493" spans="1:9" x14ac:dyDescent="0.2">
      <c r="A493" s="2">
        <v>11</v>
      </c>
      <c r="B493" s="1" t="s">
        <v>141</v>
      </c>
      <c r="C493" s="4">
        <v>2</v>
      </c>
      <c r="D493" s="8">
        <v>2</v>
      </c>
      <c r="E493" s="4">
        <v>1</v>
      </c>
      <c r="F493" s="8">
        <v>1.79</v>
      </c>
      <c r="G493" s="4">
        <v>1</v>
      </c>
      <c r="H493" s="8">
        <v>2.38</v>
      </c>
      <c r="I493" s="4">
        <v>0</v>
      </c>
    </row>
    <row r="494" spans="1:9" x14ac:dyDescent="0.2">
      <c r="A494" s="2">
        <v>11</v>
      </c>
      <c r="B494" s="1" t="s">
        <v>142</v>
      </c>
      <c r="C494" s="4">
        <v>2</v>
      </c>
      <c r="D494" s="8">
        <v>2</v>
      </c>
      <c r="E494" s="4">
        <v>0</v>
      </c>
      <c r="F494" s="8">
        <v>0</v>
      </c>
      <c r="G494" s="4">
        <v>2</v>
      </c>
      <c r="H494" s="8">
        <v>4.76</v>
      </c>
      <c r="I494" s="4">
        <v>0</v>
      </c>
    </row>
    <row r="495" spans="1:9" x14ac:dyDescent="0.2">
      <c r="A495" s="2">
        <v>11</v>
      </c>
      <c r="B495" s="1" t="s">
        <v>205</v>
      </c>
      <c r="C495" s="4">
        <v>2</v>
      </c>
      <c r="D495" s="8">
        <v>2</v>
      </c>
      <c r="E495" s="4">
        <v>2</v>
      </c>
      <c r="F495" s="8">
        <v>3.57</v>
      </c>
      <c r="G495" s="4">
        <v>0</v>
      </c>
      <c r="H495" s="8">
        <v>0</v>
      </c>
      <c r="I495" s="4">
        <v>0</v>
      </c>
    </row>
    <row r="496" spans="1:9" x14ac:dyDescent="0.2">
      <c r="A496" s="2">
        <v>11</v>
      </c>
      <c r="B496" s="1" t="s">
        <v>183</v>
      </c>
      <c r="C496" s="4">
        <v>2</v>
      </c>
      <c r="D496" s="8">
        <v>2</v>
      </c>
      <c r="E496" s="4">
        <v>1</v>
      </c>
      <c r="F496" s="8">
        <v>1.79</v>
      </c>
      <c r="G496" s="4">
        <v>1</v>
      </c>
      <c r="H496" s="8">
        <v>2.38</v>
      </c>
      <c r="I496" s="4">
        <v>0</v>
      </c>
    </row>
    <row r="497" spans="1:9" x14ac:dyDescent="0.2">
      <c r="A497" s="2">
        <v>11</v>
      </c>
      <c r="B497" s="1" t="s">
        <v>210</v>
      </c>
      <c r="C497" s="4">
        <v>2</v>
      </c>
      <c r="D497" s="8">
        <v>2</v>
      </c>
      <c r="E497" s="4">
        <v>2</v>
      </c>
      <c r="F497" s="8">
        <v>3.57</v>
      </c>
      <c r="G497" s="4">
        <v>0</v>
      </c>
      <c r="H497" s="8">
        <v>0</v>
      </c>
      <c r="I497" s="4">
        <v>0</v>
      </c>
    </row>
    <row r="498" spans="1:9" x14ac:dyDescent="0.2">
      <c r="A498" s="2">
        <v>11</v>
      </c>
      <c r="B498" s="1" t="s">
        <v>212</v>
      </c>
      <c r="C498" s="4">
        <v>2</v>
      </c>
      <c r="D498" s="8">
        <v>2</v>
      </c>
      <c r="E498" s="4">
        <v>0</v>
      </c>
      <c r="F498" s="8">
        <v>0</v>
      </c>
      <c r="G498" s="4">
        <v>1</v>
      </c>
      <c r="H498" s="8">
        <v>2.38</v>
      </c>
      <c r="I498" s="4">
        <v>0</v>
      </c>
    </row>
    <row r="499" spans="1:9" x14ac:dyDescent="0.2">
      <c r="A499" s="2">
        <v>18</v>
      </c>
      <c r="B499" s="1" t="s">
        <v>188</v>
      </c>
      <c r="C499" s="4">
        <v>1</v>
      </c>
      <c r="D499" s="8">
        <v>1</v>
      </c>
      <c r="E499" s="4">
        <v>0</v>
      </c>
      <c r="F499" s="8">
        <v>0</v>
      </c>
      <c r="G499" s="4">
        <v>1</v>
      </c>
      <c r="H499" s="8">
        <v>2.38</v>
      </c>
      <c r="I499" s="4">
        <v>0</v>
      </c>
    </row>
    <row r="500" spans="1:9" x14ac:dyDescent="0.2">
      <c r="A500" s="2">
        <v>18</v>
      </c>
      <c r="B500" s="1" t="s">
        <v>184</v>
      </c>
      <c r="C500" s="4">
        <v>1</v>
      </c>
      <c r="D500" s="8">
        <v>1</v>
      </c>
      <c r="E500" s="4">
        <v>0</v>
      </c>
      <c r="F500" s="8">
        <v>0</v>
      </c>
      <c r="G500" s="4">
        <v>1</v>
      </c>
      <c r="H500" s="8">
        <v>2.38</v>
      </c>
      <c r="I500" s="4">
        <v>0</v>
      </c>
    </row>
    <row r="501" spans="1:9" x14ac:dyDescent="0.2">
      <c r="A501" s="2">
        <v>18</v>
      </c>
      <c r="B501" s="1" t="s">
        <v>189</v>
      </c>
      <c r="C501" s="4">
        <v>1</v>
      </c>
      <c r="D501" s="8">
        <v>1</v>
      </c>
      <c r="E501" s="4">
        <v>0</v>
      </c>
      <c r="F501" s="8">
        <v>0</v>
      </c>
      <c r="G501" s="4">
        <v>1</v>
      </c>
      <c r="H501" s="8">
        <v>2.38</v>
      </c>
      <c r="I501" s="4">
        <v>0</v>
      </c>
    </row>
    <row r="502" spans="1:9" x14ac:dyDescent="0.2">
      <c r="A502" s="2">
        <v>18</v>
      </c>
      <c r="B502" s="1" t="s">
        <v>190</v>
      </c>
      <c r="C502" s="4">
        <v>1</v>
      </c>
      <c r="D502" s="8">
        <v>1</v>
      </c>
      <c r="E502" s="4">
        <v>0</v>
      </c>
      <c r="F502" s="8">
        <v>0</v>
      </c>
      <c r="G502" s="4">
        <v>1</v>
      </c>
      <c r="H502" s="8">
        <v>2.38</v>
      </c>
      <c r="I502" s="4">
        <v>0</v>
      </c>
    </row>
    <row r="503" spans="1:9" x14ac:dyDescent="0.2">
      <c r="A503" s="2">
        <v>18</v>
      </c>
      <c r="B503" s="1" t="s">
        <v>162</v>
      </c>
      <c r="C503" s="4">
        <v>1</v>
      </c>
      <c r="D503" s="8">
        <v>1</v>
      </c>
      <c r="E503" s="4">
        <v>0</v>
      </c>
      <c r="F503" s="8">
        <v>0</v>
      </c>
      <c r="G503" s="4">
        <v>1</v>
      </c>
      <c r="H503" s="8">
        <v>2.38</v>
      </c>
      <c r="I503" s="4">
        <v>0</v>
      </c>
    </row>
    <row r="504" spans="1:9" x14ac:dyDescent="0.2">
      <c r="A504" s="2">
        <v>18</v>
      </c>
      <c r="B504" s="1" t="s">
        <v>138</v>
      </c>
      <c r="C504" s="4">
        <v>1</v>
      </c>
      <c r="D504" s="8">
        <v>1</v>
      </c>
      <c r="E504" s="4">
        <v>1</v>
      </c>
      <c r="F504" s="8">
        <v>1.79</v>
      </c>
      <c r="G504" s="4">
        <v>0</v>
      </c>
      <c r="H504" s="8">
        <v>0</v>
      </c>
      <c r="I504" s="4">
        <v>0</v>
      </c>
    </row>
    <row r="505" spans="1:9" x14ac:dyDescent="0.2">
      <c r="A505" s="2">
        <v>18</v>
      </c>
      <c r="B505" s="1" t="s">
        <v>163</v>
      </c>
      <c r="C505" s="4">
        <v>1</v>
      </c>
      <c r="D505" s="8">
        <v>1</v>
      </c>
      <c r="E505" s="4">
        <v>1</v>
      </c>
      <c r="F505" s="8">
        <v>1.79</v>
      </c>
      <c r="G505" s="4">
        <v>0</v>
      </c>
      <c r="H505" s="8">
        <v>0</v>
      </c>
      <c r="I505" s="4">
        <v>0</v>
      </c>
    </row>
    <row r="506" spans="1:9" x14ac:dyDescent="0.2">
      <c r="A506" s="2">
        <v>18</v>
      </c>
      <c r="B506" s="1" t="s">
        <v>191</v>
      </c>
      <c r="C506" s="4">
        <v>1</v>
      </c>
      <c r="D506" s="8">
        <v>1</v>
      </c>
      <c r="E506" s="4">
        <v>1</v>
      </c>
      <c r="F506" s="8">
        <v>1.79</v>
      </c>
      <c r="G506" s="4">
        <v>0</v>
      </c>
      <c r="H506" s="8">
        <v>0</v>
      </c>
      <c r="I506" s="4">
        <v>0</v>
      </c>
    </row>
    <row r="507" spans="1:9" x14ac:dyDescent="0.2">
      <c r="A507" s="2">
        <v>18</v>
      </c>
      <c r="B507" s="1" t="s">
        <v>192</v>
      </c>
      <c r="C507" s="4">
        <v>1</v>
      </c>
      <c r="D507" s="8">
        <v>1</v>
      </c>
      <c r="E507" s="4">
        <v>0</v>
      </c>
      <c r="F507" s="8">
        <v>0</v>
      </c>
      <c r="G507" s="4">
        <v>1</v>
      </c>
      <c r="H507" s="8">
        <v>2.38</v>
      </c>
      <c r="I507" s="4">
        <v>0</v>
      </c>
    </row>
    <row r="508" spans="1:9" x14ac:dyDescent="0.2">
      <c r="A508" s="2">
        <v>18</v>
      </c>
      <c r="B508" s="1" t="s">
        <v>193</v>
      </c>
      <c r="C508" s="4">
        <v>1</v>
      </c>
      <c r="D508" s="8">
        <v>1</v>
      </c>
      <c r="E508" s="4">
        <v>0</v>
      </c>
      <c r="F508" s="8">
        <v>0</v>
      </c>
      <c r="G508" s="4">
        <v>1</v>
      </c>
      <c r="H508" s="8">
        <v>2.38</v>
      </c>
      <c r="I508" s="4">
        <v>0</v>
      </c>
    </row>
    <row r="509" spans="1:9" x14ac:dyDescent="0.2">
      <c r="A509" s="2">
        <v>18</v>
      </c>
      <c r="B509" s="1" t="s">
        <v>194</v>
      </c>
      <c r="C509" s="4">
        <v>1</v>
      </c>
      <c r="D509" s="8">
        <v>1</v>
      </c>
      <c r="E509" s="4">
        <v>0</v>
      </c>
      <c r="F509" s="8">
        <v>0</v>
      </c>
      <c r="G509" s="4">
        <v>1</v>
      </c>
      <c r="H509" s="8">
        <v>2.38</v>
      </c>
      <c r="I509" s="4">
        <v>0</v>
      </c>
    </row>
    <row r="510" spans="1:9" x14ac:dyDescent="0.2">
      <c r="A510" s="2">
        <v>18</v>
      </c>
      <c r="B510" s="1" t="s">
        <v>195</v>
      </c>
      <c r="C510" s="4">
        <v>1</v>
      </c>
      <c r="D510" s="8">
        <v>1</v>
      </c>
      <c r="E510" s="4">
        <v>0</v>
      </c>
      <c r="F510" s="8">
        <v>0</v>
      </c>
      <c r="G510" s="4">
        <v>1</v>
      </c>
      <c r="H510" s="8">
        <v>2.38</v>
      </c>
      <c r="I510" s="4">
        <v>0</v>
      </c>
    </row>
    <row r="511" spans="1:9" x14ac:dyDescent="0.2">
      <c r="A511" s="2">
        <v>18</v>
      </c>
      <c r="B511" s="1" t="s">
        <v>196</v>
      </c>
      <c r="C511" s="4">
        <v>1</v>
      </c>
      <c r="D511" s="8">
        <v>1</v>
      </c>
      <c r="E511" s="4">
        <v>0</v>
      </c>
      <c r="F511" s="8">
        <v>0</v>
      </c>
      <c r="G511" s="4">
        <v>1</v>
      </c>
      <c r="H511" s="8">
        <v>2.38</v>
      </c>
      <c r="I511" s="4">
        <v>0</v>
      </c>
    </row>
    <row r="512" spans="1:9" x14ac:dyDescent="0.2">
      <c r="A512" s="2">
        <v>18</v>
      </c>
      <c r="B512" s="1" t="s">
        <v>197</v>
      </c>
      <c r="C512" s="4">
        <v>1</v>
      </c>
      <c r="D512" s="8">
        <v>1</v>
      </c>
      <c r="E512" s="4">
        <v>0</v>
      </c>
      <c r="F512" s="8">
        <v>0</v>
      </c>
      <c r="G512" s="4">
        <v>0</v>
      </c>
      <c r="H512" s="8">
        <v>0</v>
      </c>
      <c r="I512" s="4">
        <v>0</v>
      </c>
    </row>
    <row r="513" spans="1:9" x14ac:dyDescent="0.2">
      <c r="A513" s="2">
        <v>18</v>
      </c>
      <c r="B513" s="1" t="s">
        <v>198</v>
      </c>
      <c r="C513" s="4">
        <v>1</v>
      </c>
      <c r="D513" s="8">
        <v>1</v>
      </c>
      <c r="E513" s="4">
        <v>0</v>
      </c>
      <c r="F513" s="8">
        <v>0</v>
      </c>
      <c r="G513" s="4">
        <v>1</v>
      </c>
      <c r="H513" s="8">
        <v>2.38</v>
      </c>
      <c r="I513" s="4">
        <v>0</v>
      </c>
    </row>
    <row r="514" spans="1:9" x14ac:dyDescent="0.2">
      <c r="A514" s="2">
        <v>18</v>
      </c>
      <c r="B514" s="1" t="s">
        <v>199</v>
      </c>
      <c r="C514" s="4">
        <v>1</v>
      </c>
      <c r="D514" s="8">
        <v>1</v>
      </c>
      <c r="E514" s="4">
        <v>0</v>
      </c>
      <c r="F514" s="8">
        <v>0</v>
      </c>
      <c r="G514" s="4">
        <v>1</v>
      </c>
      <c r="H514" s="8">
        <v>2.38</v>
      </c>
      <c r="I514" s="4">
        <v>0</v>
      </c>
    </row>
    <row r="515" spans="1:9" x14ac:dyDescent="0.2">
      <c r="A515" s="2">
        <v>18</v>
      </c>
      <c r="B515" s="1" t="s">
        <v>164</v>
      </c>
      <c r="C515" s="4">
        <v>1</v>
      </c>
      <c r="D515" s="8">
        <v>1</v>
      </c>
      <c r="E515" s="4">
        <v>0</v>
      </c>
      <c r="F515" s="8">
        <v>0</v>
      </c>
      <c r="G515" s="4">
        <v>1</v>
      </c>
      <c r="H515" s="8">
        <v>2.38</v>
      </c>
      <c r="I515" s="4">
        <v>0</v>
      </c>
    </row>
    <row r="516" spans="1:9" x14ac:dyDescent="0.2">
      <c r="A516" s="2">
        <v>18</v>
      </c>
      <c r="B516" s="1" t="s">
        <v>165</v>
      </c>
      <c r="C516" s="4">
        <v>1</v>
      </c>
      <c r="D516" s="8">
        <v>1</v>
      </c>
      <c r="E516" s="4">
        <v>0</v>
      </c>
      <c r="F516" s="8">
        <v>0</v>
      </c>
      <c r="G516" s="4">
        <v>1</v>
      </c>
      <c r="H516" s="8">
        <v>2.38</v>
      </c>
      <c r="I516" s="4">
        <v>0</v>
      </c>
    </row>
    <row r="517" spans="1:9" x14ac:dyDescent="0.2">
      <c r="A517" s="2">
        <v>18</v>
      </c>
      <c r="B517" s="1" t="s">
        <v>200</v>
      </c>
      <c r="C517" s="4">
        <v>1</v>
      </c>
      <c r="D517" s="8">
        <v>1</v>
      </c>
      <c r="E517" s="4">
        <v>1</v>
      </c>
      <c r="F517" s="8">
        <v>1.79</v>
      </c>
      <c r="G517" s="4">
        <v>0</v>
      </c>
      <c r="H517" s="8">
        <v>0</v>
      </c>
      <c r="I517" s="4">
        <v>0</v>
      </c>
    </row>
    <row r="518" spans="1:9" x14ac:dyDescent="0.2">
      <c r="A518" s="2">
        <v>18</v>
      </c>
      <c r="B518" s="1" t="s">
        <v>201</v>
      </c>
      <c r="C518" s="4">
        <v>1</v>
      </c>
      <c r="D518" s="8">
        <v>1</v>
      </c>
      <c r="E518" s="4">
        <v>1</v>
      </c>
      <c r="F518" s="8">
        <v>1.79</v>
      </c>
      <c r="G518" s="4">
        <v>0</v>
      </c>
      <c r="H518" s="8">
        <v>0</v>
      </c>
      <c r="I518" s="4">
        <v>0</v>
      </c>
    </row>
    <row r="519" spans="1:9" x14ac:dyDescent="0.2">
      <c r="A519" s="2">
        <v>18</v>
      </c>
      <c r="B519" s="1" t="s">
        <v>174</v>
      </c>
      <c r="C519" s="4">
        <v>1</v>
      </c>
      <c r="D519" s="8">
        <v>1</v>
      </c>
      <c r="E519" s="4">
        <v>1</v>
      </c>
      <c r="F519" s="8">
        <v>1.79</v>
      </c>
      <c r="G519" s="4">
        <v>0</v>
      </c>
      <c r="H519" s="8">
        <v>0</v>
      </c>
      <c r="I519" s="4">
        <v>0</v>
      </c>
    </row>
    <row r="520" spans="1:9" x14ac:dyDescent="0.2">
      <c r="A520" s="2">
        <v>18</v>
      </c>
      <c r="B520" s="1" t="s">
        <v>167</v>
      </c>
      <c r="C520" s="4">
        <v>1</v>
      </c>
      <c r="D520" s="8">
        <v>1</v>
      </c>
      <c r="E520" s="4">
        <v>0</v>
      </c>
      <c r="F520" s="8">
        <v>0</v>
      </c>
      <c r="G520" s="4">
        <v>1</v>
      </c>
      <c r="H520" s="8">
        <v>2.38</v>
      </c>
      <c r="I520" s="4">
        <v>0</v>
      </c>
    </row>
    <row r="521" spans="1:9" x14ac:dyDescent="0.2">
      <c r="A521" s="2">
        <v>18</v>
      </c>
      <c r="B521" s="1" t="s">
        <v>202</v>
      </c>
      <c r="C521" s="4">
        <v>1</v>
      </c>
      <c r="D521" s="8">
        <v>1</v>
      </c>
      <c r="E521" s="4">
        <v>1</v>
      </c>
      <c r="F521" s="8">
        <v>1.79</v>
      </c>
      <c r="G521" s="4">
        <v>0</v>
      </c>
      <c r="H521" s="8">
        <v>0</v>
      </c>
      <c r="I521" s="4">
        <v>0</v>
      </c>
    </row>
    <row r="522" spans="1:9" x14ac:dyDescent="0.2">
      <c r="A522" s="2">
        <v>18</v>
      </c>
      <c r="B522" s="1" t="s">
        <v>203</v>
      </c>
      <c r="C522" s="4">
        <v>1</v>
      </c>
      <c r="D522" s="8">
        <v>1</v>
      </c>
      <c r="E522" s="4">
        <v>0</v>
      </c>
      <c r="F522" s="8">
        <v>0</v>
      </c>
      <c r="G522" s="4">
        <v>1</v>
      </c>
      <c r="H522" s="8">
        <v>2.38</v>
      </c>
      <c r="I522" s="4">
        <v>0</v>
      </c>
    </row>
    <row r="523" spans="1:9" x14ac:dyDescent="0.2">
      <c r="A523" s="2">
        <v>18</v>
      </c>
      <c r="B523" s="1" t="s">
        <v>204</v>
      </c>
      <c r="C523" s="4">
        <v>1</v>
      </c>
      <c r="D523" s="8">
        <v>1</v>
      </c>
      <c r="E523" s="4">
        <v>0</v>
      </c>
      <c r="F523" s="8">
        <v>0</v>
      </c>
      <c r="G523" s="4">
        <v>1</v>
      </c>
      <c r="H523" s="8">
        <v>2.38</v>
      </c>
      <c r="I523" s="4">
        <v>0</v>
      </c>
    </row>
    <row r="524" spans="1:9" x14ac:dyDescent="0.2">
      <c r="A524" s="2">
        <v>18</v>
      </c>
      <c r="B524" s="1" t="s">
        <v>143</v>
      </c>
      <c r="C524" s="4">
        <v>1</v>
      </c>
      <c r="D524" s="8">
        <v>1</v>
      </c>
      <c r="E524" s="4">
        <v>1</v>
      </c>
      <c r="F524" s="8">
        <v>1.79</v>
      </c>
      <c r="G524" s="4">
        <v>0</v>
      </c>
      <c r="H524" s="8">
        <v>0</v>
      </c>
      <c r="I524" s="4">
        <v>0</v>
      </c>
    </row>
    <row r="525" spans="1:9" x14ac:dyDescent="0.2">
      <c r="A525" s="2">
        <v>18</v>
      </c>
      <c r="B525" s="1" t="s">
        <v>155</v>
      </c>
      <c r="C525" s="4">
        <v>1</v>
      </c>
      <c r="D525" s="8">
        <v>1</v>
      </c>
      <c r="E525" s="4">
        <v>0</v>
      </c>
      <c r="F525" s="8">
        <v>0</v>
      </c>
      <c r="G525" s="4">
        <v>1</v>
      </c>
      <c r="H525" s="8">
        <v>2.38</v>
      </c>
      <c r="I525" s="4">
        <v>0</v>
      </c>
    </row>
    <row r="526" spans="1:9" x14ac:dyDescent="0.2">
      <c r="A526" s="2">
        <v>18</v>
      </c>
      <c r="B526" s="1" t="s">
        <v>206</v>
      </c>
      <c r="C526" s="4">
        <v>1</v>
      </c>
      <c r="D526" s="8">
        <v>1</v>
      </c>
      <c r="E526" s="4">
        <v>0</v>
      </c>
      <c r="F526" s="8">
        <v>0</v>
      </c>
      <c r="G526" s="4">
        <v>1</v>
      </c>
      <c r="H526" s="8">
        <v>2.38</v>
      </c>
      <c r="I526" s="4">
        <v>0</v>
      </c>
    </row>
    <row r="527" spans="1:9" x14ac:dyDescent="0.2">
      <c r="A527" s="2">
        <v>18</v>
      </c>
      <c r="B527" s="1" t="s">
        <v>207</v>
      </c>
      <c r="C527" s="4">
        <v>1</v>
      </c>
      <c r="D527" s="8">
        <v>1</v>
      </c>
      <c r="E527" s="4">
        <v>1</v>
      </c>
      <c r="F527" s="8">
        <v>1.79</v>
      </c>
      <c r="G527" s="4">
        <v>0</v>
      </c>
      <c r="H527" s="8">
        <v>0</v>
      </c>
      <c r="I527" s="4">
        <v>0</v>
      </c>
    </row>
    <row r="528" spans="1:9" x14ac:dyDescent="0.2">
      <c r="A528" s="2">
        <v>18</v>
      </c>
      <c r="B528" s="1" t="s">
        <v>208</v>
      </c>
      <c r="C528" s="4">
        <v>1</v>
      </c>
      <c r="D528" s="8">
        <v>1</v>
      </c>
      <c r="E528" s="4">
        <v>1</v>
      </c>
      <c r="F528" s="8">
        <v>1.79</v>
      </c>
      <c r="G528" s="4">
        <v>0</v>
      </c>
      <c r="H528" s="8">
        <v>0</v>
      </c>
      <c r="I528" s="4">
        <v>0</v>
      </c>
    </row>
    <row r="529" spans="1:9" x14ac:dyDescent="0.2">
      <c r="A529" s="2">
        <v>18</v>
      </c>
      <c r="B529" s="1" t="s">
        <v>146</v>
      </c>
      <c r="C529" s="4">
        <v>1</v>
      </c>
      <c r="D529" s="8">
        <v>1</v>
      </c>
      <c r="E529" s="4">
        <v>0</v>
      </c>
      <c r="F529" s="8">
        <v>0</v>
      </c>
      <c r="G529" s="4">
        <v>1</v>
      </c>
      <c r="H529" s="8">
        <v>2.38</v>
      </c>
      <c r="I529" s="4">
        <v>0</v>
      </c>
    </row>
    <row r="530" spans="1:9" x14ac:dyDescent="0.2">
      <c r="A530" s="2">
        <v>18</v>
      </c>
      <c r="B530" s="1" t="s">
        <v>170</v>
      </c>
      <c r="C530" s="4">
        <v>1</v>
      </c>
      <c r="D530" s="8">
        <v>1</v>
      </c>
      <c r="E530" s="4">
        <v>1</v>
      </c>
      <c r="F530" s="8">
        <v>1.79</v>
      </c>
      <c r="G530" s="4">
        <v>0</v>
      </c>
      <c r="H530" s="8">
        <v>0</v>
      </c>
      <c r="I530" s="4">
        <v>0</v>
      </c>
    </row>
    <row r="531" spans="1:9" x14ac:dyDescent="0.2">
      <c r="A531" s="2">
        <v>18</v>
      </c>
      <c r="B531" s="1" t="s">
        <v>147</v>
      </c>
      <c r="C531" s="4">
        <v>1</v>
      </c>
      <c r="D531" s="8">
        <v>1</v>
      </c>
      <c r="E531" s="4">
        <v>1</v>
      </c>
      <c r="F531" s="8">
        <v>1.79</v>
      </c>
      <c r="G531" s="4">
        <v>0</v>
      </c>
      <c r="H531" s="8">
        <v>0</v>
      </c>
      <c r="I531" s="4">
        <v>0</v>
      </c>
    </row>
    <row r="532" spans="1:9" x14ac:dyDescent="0.2">
      <c r="A532" s="2">
        <v>18</v>
      </c>
      <c r="B532" s="1" t="s">
        <v>209</v>
      </c>
      <c r="C532" s="4">
        <v>1</v>
      </c>
      <c r="D532" s="8">
        <v>1</v>
      </c>
      <c r="E532" s="4">
        <v>1</v>
      </c>
      <c r="F532" s="8">
        <v>1.79</v>
      </c>
      <c r="G532" s="4">
        <v>0</v>
      </c>
      <c r="H532" s="8">
        <v>0</v>
      </c>
      <c r="I532" s="4">
        <v>0</v>
      </c>
    </row>
    <row r="533" spans="1:9" x14ac:dyDescent="0.2">
      <c r="A533" s="2">
        <v>18</v>
      </c>
      <c r="B533" s="1" t="s">
        <v>148</v>
      </c>
      <c r="C533" s="4">
        <v>1</v>
      </c>
      <c r="D533" s="8">
        <v>1</v>
      </c>
      <c r="E533" s="4">
        <v>1</v>
      </c>
      <c r="F533" s="8">
        <v>1.79</v>
      </c>
      <c r="G533" s="4">
        <v>0</v>
      </c>
      <c r="H533" s="8">
        <v>0</v>
      </c>
      <c r="I533" s="4">
        <v>0</v>
      </c>
    </row>
    <row r="534" spans="1:9" x14ac:dyDescent="0.2">
      <c r="A534" s="2">
        <v>18</v>
      </c>
      <c r="B534" s="1" t="s">
        <v>160</v>
      </c>
      <c r="C534" s="4">
        <v>1</v>
      </c>
      <c r="D534" s="8">
        <v>1</v>
      </c>
      <c r="E534" s="4">
        <v>1</v>
      </c>
      <c r="F534" s="8">
        <v>1.79</v>
      </c>
      <c r="G534" s="4">
        <v>0</v>
      </c>
      <c r="H534" s="8">
        <v>0</v>
      </c>
      <c r="I534" s="4">
        <v>0</v>
      </c>
    </row>
    <row r="535" spans="1:9" x14ac:dyDescent="0.2">
      <c r="A535" s="2">
        <v>18</v>
      </c>
      <c r="B535" s="1" t="s">
        <v>172</v>
      </c>
      <c r="C535" s="4">
        <v>1</v>
      </c>
      <c r="D535" s="8">
        <v>1</v>
      </c>
      <c r="E535" s="4">
        <v>1</v>
      </c>
      <c r="F535" s="8">
        <v>1.79</v>
      </c>
      <c r="G535" s="4">
        <v>0</v>
      </c>
      <c r="H535" s="8">
        <v>0</v>
      </c>
      <c r="I535" s="4">
        <v>0</v>
      </c>
    </row>
    <row r="536" spans="1:9" x14ac:dyDescent="0.2">
      <c r="A536" s="2">
        <v>18</v>
      </c>
      <c r="B536" s="1" t="s">
        <v>152</v>
      </c>
      <c r="C536" s="4">
        <v>1</v>
      </c>
      <c r="D536" s="8">
        <v>1</v>
      </c>
      <c r="E536" s="4">
        <v>1</v>
      </c>
      <c r="F536" s="8">
        <v>1.79</v>
      </c>
      <c r="G536" s="4">
        <v>0</v>
      </c>
      <c r="H536" s="8">
        <v>0</v>
      </c>
      <c r="I536" s="4">
        <v>0</v>
      </c>
    </row>
    <row r="537" spans="1:9" x14ac:dyDescent="0.2">
      <c r="A537" s="2">
        <v>18</v>
      </c>
      <c r="B537" s="1" t="s">
        <v>211</v>
      </c>
      <c r="C537" s="4">
        <v>1</v>
      </c>
      <c r="D537" s="8">
        <v>1</v>
      </c>
      <c r="E537" s="4">
        <v>0</v>
      </c>
      <c r="F537" s="8">
        <v>0</v>
      </c>
      <c r="G537" s="4">
        <v>1</v>
      </c>
      <c r="H537" s="8">
        <v>2.38</v>
      </c>
      <c r="I537" s="4">
        <v>0</v>
      </c>
    </row>
    <row r="538" spans="1:9" x14ac:dyDescent="0.2">
      <c r="A538" s="1"/>
      <c r="C538" s="4"/>
      <c r="D538" s="8"/>
      <c r="E538" s="4"/>
      <c r="F538" s="8"/>
      <c r="G538" s="4"/>
      <c r="H538" s="8"/>
      <c r="I538" s="4"/>
    </row>
    <row r="539" spans="1:9" x14ac:dyDescent="0.2">
      <c r="A539" s="1" t="s">
        <v>22</v>
      </c>
      <c r="C539" s="4"/>
      <c r="D539" s="8"/>
      <c r="E539" s="4"/>
      <c r="F539" s="8"/>
      <c r="G539" s="4"/>
      <c r="H539" s="8"/>
      <c r="I539" s="4"/>
    </row>
    <row r="540" spans="1:9" x14ac:dyDescent="0.2">
      <c r="A540" s="2">
        <v>1</v>
      </c>
      <c r="B540" s="1" t="s">
        <v>151</v>
      </c>
      <c r="C540" s="4">
        <v>11</v>
      </c>
      <c r="D540" s="8">
        <v>4.68</v>
      </c>
      <c r="E540" s="4">
        <v>11</v>
      </c>
      <c r="F540" s="8">
        <v>8.0299999999999994</v>
      </c>
      <c r="G540" s="4">
        <v>0</v>
      </c>
      <c r="H540" s="8">
        <v>0</v>
      </c>
      <c r="I540" s="4">
        <v>0</v>
      </c>
    </row>
    <row r="541" spans="1:9" x14ac:dyDescent="0.2">
      <c r="A541" s="2">
        <v>2</v>
      </c>
      <c r="B541" s="1" t="s">
        <v>140</v>
      </c>
      <c r="C541" s="4">
        <v>10</v>
      </c>
      <c r="D541" s="8">
        <v>4.26</v>
      </c>
      <c r="E541" s="4">
        <v>7</v>
      </c>
      <c r="F541" s="8">
        <v>5.1100000000000003</v>
      </c>
      <c r="G541" s="4">
        <v>2</v>
      </c>
      <c r="H541" s="8">
        <v>2.15</v>
      </c>
      <c r="I541" s="4">
        <v>1</v>
      </c>
    </row>
    <row r="542" spans="1:9" x14ac:dyDescent="0.2">
      <c r="A542" s="2">
        <v>3</v>
      </c>
      <c r="B542" s="1" t="s">
        <v>135</v>
      </c>
      <c r="C542" s="4">
        <v>9</v>
      </c>
      <c r="D542" s="8">
        <v>3.83</v>
      </c>
      <c r="E542" s="4">
        <v>1</v>
      </c>
      <c r="F542" s="8">
        <v>0.73</v>
      </c>
      <c r="G542" s="4">
        <v>8</v>
      </c>
      <c r="H542" s="8">
        <v>8.6</v>
      </c>
      <c r="I542" s="4">
        <v>0</v>
      </c>
    </row>
    <row r="543" spans="1:9" x14ac:dyDescent="0.2">
      <c r="A543" s="2">
        <v>4</v>
      </c>
      <c r="B543" s="1" t="s">
        <v>137</v>
      </c>
      <c r="C543" s="4">
        <v>8</v>
      </c>
      <c r="D543" s="8">
        <v>3.4</v>
      </c>
      <c r="E543" s="4">
        <v>4</v>
      </c>
      <c r="F543" s="8">
        <v>2.92</v>
      </c>
      <c r="G543" s="4">
        <v>4</v>
      </c>
      <c r="H543" s="8">
        <v>4.3</v>
      </c>
      <c r="I543" s="4">
        <v>0</v>
      </c>
    </row>
    <row r="544" spans="1:9" x14ac:dyDescent="0.2">
      <c r="A544" s="2">
        <v>5</v>
      </c>
      <c r="B544" s="1" t="s">
        <v>213</v>
      </c>
      <c r="C544" s="4">
        <v>7</v>
      </c>
      <c r="D544" s="8">
        <v>2.98</v>
      </c>
      <c r="E544" s="4">
        <v>7</v>
      </c>
      <c r="F544" s="8">
        <v>5.1100000000000003</v>
      </c>
      <c r="G544" s="4">
        <v>0</v>
      </c>
      <c r="H544" s="8">
        <v>0</v>
      </c>
      <c r="I544" s="4">
        <v>0</v>
      </c>
    </row>
    <row r="545" spans="1:9" x14ac:dyDescent="0.2">
      <c r="A545" s="2">
        <v>5</v>
      </c>
      <c r="B545" s="1" t="s">
        <v>168</v>
      </c>
      <c r="C545" s="4">
        <v>7</v>
      </c>
      <c r="D545" s="8">
        <v>2.98</v>
      </c>
      <c r="E545" s="4">
        <v>1</v>
      </c>
      <c r="F545" s="8">
        <v>0.73</v>
      </c>
      <c r="G545" s="4">
        <v>6</v>
      </c>
      <c r="H545" s="8">
        <v>6.45</v>
      </c>
      <c r="I545" s="4">
        <v>0</v>
      </c>
    </row>
    <row r="546" spans="1:9" x14ac:dyDescent="0.2">
      <c r="A546" s="2">
        <v>5</v>
      </c>
      <c r="B546" s="1" t="s">
        <v>153</v>
      </c>
      <c r="C546" s="4">
        <v>7</v>
      </c>
      <c r="D546" s="8">
        <v>2.98</v>
      </c>
      <c r="E546" s="4">
        <v>7</v>
      </c>
      <c r="F546" s="8">
        <v>5.1100000000000003</v>
      </c>
      <c r="G546" s="4">
        <v>0</v>
      </c>
      <c r="H546" s="8">
        <v>0</v>
      </c>
      <c r="I546" s="4">
        <v>0</v>
      </c>
    </row>
    <row r="547" spans="1:9" x14ac:dyDescent="0.2">
      <c r="A547" s="2">
        <v>8</v>
      </c>
      <c r="B547" s="1" t="s">
        <v>141</v>
      </c>
      <c r="C547" s="4">
        <v>6</v>
      </c>
      <c r="D547" s="8">
        <v>2.5499999999999998</v>
      </c>
      <c r="E547" s="4">
        <v>6</v>
      </c>
      <c r="F547" s="8">
        <v>4.38</v>
      </c>
      <c r="G547" s="4">
        <v>0</v>
      </c>
      <c r="H547" s="8">
        <v>0</v>
      </c>
      <c r="I547" s="4">
        <v>0</v>
      </c>
    </row>
    <row r="548" spans="1:9" x14ac:dyDescent="0.2">
      <c r="A548" s="2">
        <v>8</v>
      </c>
      <c r="B548" s="1" t="s">
        <v>154</v>
      </c>
      <c r="C548" s="4">
        <v>6</v>
      </c>
      <c r="D548" s="8">
        <v>2.5499999999999998</v>
      </c>
      <c r="E548" s="4">
        <v>5</v>
      </c>
      <c r="F548" s="8">
        <v>3.65</v>
      </c>
      <c r="G548" s="4">
        <v>1</v>
      </c>
      <c r="H548" s="8">
        <v>1.08</v>
      </c>
      <c r="I548" s="4">
        <v>0</v>
      </c>
    </row>
    <row r="549" spans="1:9" x14ac:dyDescent="0.2">
      <c r="A549" s="2">
        <v>10</v>
      </c>
      <c r="B549" s="1" t="s">
        <v>173</v>
      </c>
      <c r="C549" s="4">
        <v>5</v>
      </c>
      <c r="D549" s="8">
        <v>2.13</v>
      </c>
      <c r="E549" s="4">
        <v>3</v>
      </c>
      <c r="F549" s="8">
        <v>2.19</v>
      </c>
      <c r="G549" s="4">
        <v>2</v>
      </c>
      <c r="H549" s="8">
        <v>2.15</v>
      </c>
      <c r="I549" s="4">
        <v>0</v>
      </c>
    </row>
    <row r="550" spans="1:9" x14ac:dyDescent="0.2">
      <c r="A550" s="2">
        <v>10</v>
      </c>
      <c r="B550" s="1" t="s">
        <v>167</v>
      </c>
      <c r="C550" s="4">
        <v>5</v>
      </c>
      <c r="D550" s="8">
        <v>2.13</v>
      </c>
      <c r="E550" s="4">
        <v>5</v>
      </c>
      <c r="F550" s="8">
        <v>3.65</v>
      </c>
      <c r="G550" s="4">
        <v>0</v>
      </c>
      <c r="H550" s="8">
        <v>0</v>
      </c>
      <c r="I550" s="4">
        <v>0</v>
      </c>
    </row>
    <row r="551" spans="1:9" x14ac:dyDescent="0.2">
      <c r="A551" s="2">
        <v>10</v>
      </c>
      <c r="B551" s="1" t="s">
        <v>203</v>
      </c>
      <c r="C551" s="4">
        <v>5</v>
      </c>
      <c r="D551" s="8">
        <v>2.13</v>
      </c>
      <c r="E551" s="4">
        <v>4</v>
      </c>
      <c r="F551" s="8">
        <v>2.92</v>
      </c>
      <c r="G551" s="4">
        <v>1</v>
      </c>
      <c r="H551" s="8">
        <v>1.08</v>
      </c>
      <c r="I551" s="4">
        <v>0</v>
      </c>
    </row>
    <row r="552" spans="1:9" x14ac:dyDescent="0.2">
      <c r="A552" s="2">
        <v>10</v>
      </c>
      <c r="B552" s="1" t="s">
        <v>170</v>
      </c>
      <c r="C552" s="4">
        <v>5</v>
      </c>
      <c r="D552" s="8">
        <v>2.13</v>
      </c>
      <c r="E552" s="4">
        <v>5</v>
      </c>
      <c r="F552" s="8">
        <v>3.65</v>
      </c>
      <c r="G552" s="4">
        <v>0</v>
      </c>
      <c r="H552" s="8">
        <v>0</v>
      </c>
      <c r="I552" s="4">
        <v>0</v>
      </c>
    </row>
    <row r="553" spans="1:9" x14ac:dyDescent="0.2">
      <c r="A553" s="2">
        <v>14</v>
      </c>
      <c r="B553" s="1" t="s">
        <v>184</v>
      </c>
      <c r="C553" s="4">
        <v>4</v>
      </c>
      <c r="D553" s="8">
        <v>1.7</v>
      </c>
      <c r="E553" s="4">
        <v>4</v>
      </c>
      <c r="F553" s="8">
        <v>2.92</v>
      </c>
      <c r="G553" s="4">
        <v>0</v>
      </c>
      <c r="H553" s="8">
        <v>0</v>
      </c>
      <c r="I553" s="4">
        <v>0</v>
      </c>
    </row>
    <row r="554" spans="1:9" x14ac:dyDescent="0.2">
      <c r="A554" s="2">
        <v>14</v>
      </c>
      <c r="B554" s="1" t="s">
        <v>162</v>
      </c>
      <c r="C554" s="4">
        <v>4</v>
      </c>
      <c r="D554" s="8">
        <v>1.7</v>
      </c>
      <c r="E554" s="4">
        <v>4</v>
      </c>
      <c r="F554" s="8">
        <v>2.92</v>
      </c>
      <c r="G554" s="4">
        <v>0</v>
      </c>
      <c r="H554" s="8">
        <v>0</v>
      </c>
      <c r="I554" s="4">
        <v>0</v>
      </c>
    </row>
    <row r="555" spans="1:9" x14ac:dyDescent="0.2">
      <c r="A555" s="2">
        <v>14</v>
      </c>
      <c r="B555" s="1" t="s">
        <v>215</v>
      </c>
      <c r="C555" s="4">
        <v>4</v>
      </c>
      <c r="D555" s="8">
        <v>1.7</v>
      </c>
      <c r="E555" s="4">
        <v>2</v>
      </c>
      <c r="F555" s="8">
        <v>1.46</v>
      </c>
      <c r="G555" s="4">
        <v>2</v>
      </c>
      <c r="H555" s="8">
        <v>2.15</v>
      </c>
      <c r="I555" s="4">
        <v>0</v>
      </c>
    </row>
    <row r="556" spans="1:9" x14ac:dyDescent="0.2">
      <c r="A556" s="2">
        <v>14</v>
      </c>
      <c r="B556" s="1" t="s">
        <v>143</v>
      </c>
      <c r="C556" s="4">
        <v>4</v>
      </c>
      <c r="D556" s="8">
        <v>1.7</v>
      </c>
      <c r="E556" s="4">
        <v>4</v>
      </c>
      <c r="F556" s="8">
        <v>2.92</v>
      </c>
      <c r="G556" s="4">
        <v>0</v>
      </c>
      <c r="H556" s="8">
        <v>0</v>
      </c>
      <c r="I556" s="4">
        <v>0</v>
      </c>
    </row>
    <row r="557" spans="1:9" x14ac:dyDescent="0.2">
      <c r="A557" s="2">
        <v>14</v>
      </c>
      <c r="B557" s="1" t="s">
        <v>145</v>
      </c>
      <c r="C557" s="4">
        <v>4</v>
      </c>
      <c r="D557" s="8">
        <v>1.7</v>
      </c>
      <c r="E557" s="4">
        <v>3</v>
      </c>
      <c r="F557" s="8">
        <v>2.19</v>
      </c>
      <c r="G557" s="4">
        <v>1</v>
      </c>
      <c r="H557" s="8">
        <v>1.08</v>
      </c>
      <c r="I557" s="4">
        <v>0</v>
      </c>
    </row>
    <row r="558" spans="1:9" x14ac:dyDescent="0.2">
      <c r="A558" s="2">
        <v>19</v>
      </c>
      <c r="B558" s="1" t="s">
        <v>136</v>
      </c>
      <c r="C558" s="4">
        <v>3</v>
      </c>
      <c r="D558" s="8">
        <v>1.28</v>
      </c>
      <c r="E558" s="4">
        <v>2</v>
      </c>
      <c r="F558" s="8">
        <v>1.46</v>
      </c>
      <c r="G558" s="4">
        <v>1</v>
      </c>
      <c r="H558" s="8">
        <v>1.08</v>
      </c>
      <c r="I558" s="4">
        <v>0</v>
      </c>
    </row>
    <row r="559" spans="1:9" x14ac:dyDescent="0.2">
      <c r="A559" s="2">
        <v>19</v>
      </c>
      <c r="B559" s="1" t="s">
        <v>189</v>
      </c>
      <c r="C559" s="4">
        <v>3</v>
      </c>
      <c r="D559" s="8">
        <v>1.28</v>
      </c>
      <c r="E559" s="4">
        <v>2</v>
      </c>
      <c r="F559" s="8">
        <v>1.46</v>
      </c>
      <c r="G559" s="4">
        <v>1</v>
      </c>
      <c r="H559" s="8">
        <v>1.08</v>
      </c>
      <c r="I559" s="4">
        <v>0</v>
      </c>
    </row>
    <row r="560" spans="1:9" x14ac:dyDescent="0.2">
      <c r="A560" s="2">
        <v>19</v>
      </c>
      <c r="B560" s="1" t="s">
        <v>214</v>
      </c>
      <c r="C560" s="4">
        <v>3</v>
      </c>
      <c r="D560" s="8">
        <v>1.28</v>
      </c>
      <c r="E560" s="4">
        <v>3</v>
      </c>
      <c r="F560" s="8">
        <v>2.19</v>
      </c>
      <c r="G560" s="4">
        <v>0</v>
      </c>
      <c r="H560" s="8">
        <v>0</v>
      </c>
      <c r="I560" s="4">
        <v>0</v>
      </c>
    </row>
    <row r="561" spans="1:9" x14ac:dyDescent="0.2">
      <c r="A561" s="2">
        <v>19</v>
      </c>
      <c r="B561" s="1" t="s">
        <v>196</v>
      </c>
      <c r="C561" s="4">
        <v>3</v>
      </c>
      <c r="D561" s="8">
        <v>1.28</v>
      </c>
      <c r="E561" s="4">
        <v>0</v>
      </c>
      <c r="F561" s="8">
        <v>0</v>
      </c>
      <c r="G561" s="4">
        <v>3</v>
      </c>
      <c r="H561" s="8">
        <v>3.23</v>
      </c>
      <c r="I561" s="4">
        <v>0</v>
      </c>
    </row>
    <row r="562" spans="1:9" x14ac:dyDescent="0.2">
      <c r="A562" s="2">
        <v>19</v>
      </c>
      <c r="B562" s="1" t="s">
        <v>200</v>
      </c>
      <c r="C562" s="4">
        <v>3</v>
      </c>
      <c r="D562" s="8">
        <v>1.28</v>
      </c>
      <c r="E562" s="4">
        <v>0</v>
      </c>
      <c r="F562" s="8">
        <v>0</v>
      </c>
      <c r="G562" s="4">
        <v>3</v>
      </c>
      <c r="H562" s="8">
        <v>3.23</v>
      </c>
      <c r="I562" s="4">
        <v>0</v>
      </c>
    </row>
    <row r="563" spans="1:9" x14ac:dyDescent="0.2">
      <c r="A563" s="2">
        <v>19</v>
      </c>
      <c r="B563" s="1" t="s">
        <v>202</v>
      </c>
      <c r="C563" s="4">
        <v>3</v>
      </c>
      <c r="D563" s="8">
        <v>1.28</v>
      </c>
      <c r="E563" s="4">
        <v>2</v>
      </c>
      <c r="F563" s="8">
        <v>1.46</v>
      </c>
      <c r="G563" s="4">
        <v>1</v>
      </c>
      <c r="H563" s="8">
        <v>1.08</v>
      </c>
      <c r="I563" s="4">
        <v>0</v>
      </c>
    </row>
    <row r="564" spans="1:9" x14ac:dyDescent="0.2">
      <c r="A564" s="2">
        <v>19</v>
      </c>
      <c r="B564" s="1" t="s">
        <v>142</v>
      </c>
      <c r="C564" s="4">
        <v>3</v>
      </c>
      <c r="D564" s="8">
        <v>1.28</v>
      </c>
      <c r="E564" s="4">
        <v>1</v>
      </c>
      <c r="F564" s="8">
        <v>0.73</v>
      </c>
      <c r="G564" s="4">
        <v>2</v>
      </c>
      <c r="H564" s="8">
        <v>2.15</v>
      </c>
      <c r="I564" s="4">
        <v>0</v>
      </c>
    </row>
    <row r="565" spans="1:9" x14ac:dyDescent="0.2">
      <c r="A565" s="2">
        <v>19</v>
      </c>
      <c r="B565" s="1" t="s">
        <v>209</v>
      </c>
      <c r="C565" s="4">
        <v>3</v>
      </c>
      <c r="D565" s="8">
        <v>1.28</v>
      </c>
      <c r="E565" s="4">
        <v>2</v>
      </c>
      <c r="F565" s="8">
        <v>1.46</v>
      </c>
      <c r="G565" s="4">
        <v>1</v>
      </c>
      <c r="H565" s="8">
        <v>1.08</v>
      </c>
      <c r="I565" s="4">
        <v>0</v>
      </c>
    </row>
    <row r="566" spans="1:9" x14ac:dyDescent="0.2">
      <c r="A566" s="2">
        <v>19</v>
      </c>
      <c r="B566" s="1" t="s">
        <v>150</v>
      </c>
      <c r="C566" s="4">
        <v>3</v>
      </c>
      <c r="D566" s="8">
        <v>1.28</v>
      </c>
      <c r="E566" s="4">
        <v>3</v>
      </c>
      <c r="F566" s="8">
        <v>2.19</v>
      </c>
      <c r="G566" s="4">
        <v>0</v>
      </c>
      <c r="H566" s="8">
        <v>0</v>
      </c>
      <c r="I566" s="4">
        <v>0</v>
      </c>
    </row>
    <row r="567" spans="1:9" x14ac:dyDescent="0.2">
      <c r="A567" s="2">
        <v>19</v>
      </c>
      <c r="B567" s="1" t="s">
        <v>172</v>
      </c>
      <c r="C567" s="4">
        <v>3</v>
      </c>
      <c r="D567" s="8">
        <v>1.28</v>
      </c>
      <c r="E567" s="4">
        <v>3</v>
      </c>
      <c r="F567" s="8">
        <v>2.19</v>
      </c>
      <c r="G567" s="4">
        <v>0</v>
      </c>
      <c r="H567" s="8">
        <v>0</v>
      </c>
      <c r="I567" s="4">
        <v>0</v>
      </c>
    </row>
    <row r="568" spans="1:9" x14ac:dyDescent="0.2">
      <c r="A568" s="1"/>
      <c r="C568" s="4"/>
      <c r="D568" s="8"/>
      <c r="E568" s="4"/>
      <c r="F568" s="8"/>
      <c r="G568" s="4"/>
      <c r="H568" s="8"/>
      <c r="I568" s="4"/>
    </row>
    <row r="569" spans="1:9" x14ac:dyDescent="0.2">
      <c r="A569" s="1" t="s">
        <v>23</v>
      </c>
      <c r="C569" s="4"/>
      <c r="D569" s="8"/>
      <c r="E569" s="4"/>
      <c r="F569" s="8"/>
      <c r="G569" s="4"/>
      <c r="H569" s="8"/>
      <c r="I569" s="4"/>
    </row>
    <row r="570" spans="1:9" x14ac:dyDescent="0.2">
      <c r="A570" s="2">
        <v>1</v>
      </c>
      <c r="B570" s="1" t="s">
        <v>151</v>
      </c>
      <c r="C570" s="4">
        <v>19</v>
      </c>
      <c r="D570" s="8">
        <v>6.55</v>
      </c>
      <c r="E570" s="4">
        <v>18</v>
      </c>
      <c r="F570" s="8">
        <v>10.84</v>
      </c>
      <c r="G570" s="4">
        <v>1</v>
      </c>
      <c r="H570" s="8">
        <v>0.84</v>
      </c>
      <c r="I570" s="4">
        <v>0</v>
      </c>
    </row>
    <row r="571" spans="1:9" x14ac:dyDescent="0.2">
      <c r="A571" s="2">
        <v>2</v>
      </c>
      <c r="B571" s="1" t="s">
        <v>147</v>
      </c>
      <c r="C571" s="4">
        <v>11</v>
      </c>
      <c r="D571" s="8">
        <v>3.79</v>
      </c>
      <c r="E571" s="4">
        <v>10</v>
      </c>
      <c r="F571" s="8">
        <v>6.02</v>
      </c>
      <c r="G571" s="4">
        <v>1</v>
      </c>
      <c r="H571" s="8">
        <v>0.84</v>
      </c>
      <c r="I571" s="4">
        <v>0</v>
      </c>
    </row>
    <row r="572" spans="1:9" x14ac:dyDescent="0.2">
      <c r="A572" s="2">
        <v>3</v>
      </c>
      <c r="B572" s="1" t="s">
        <v>140</v>
      </c>
      <c r="C572" s="4">
        <v>10</v>
      </c>
      <c r="D572" s="8">
        <v>3.45</v>
      </c>
      <c r="E572" s="4">
        <v>7</v>
      </c>
      <c r="F572" s="8">
        <v>4.22</v>
      </c>
      <c r="G572" s="4">
        <v>3</v>
      </c>
      <c r="H572" s="8">
        <v>2.52</v>
      </c>
      <c r="I572" s="4">
        <v>0</v>
      </c>
    </row>
    <row r="573" spans="1:9" x14ac:dyDescent="0.2">
      <c r="A573" s="2">
        <v>4</v>
      </c>
      <c r="B573" s="1" t="s">
        <v>135</v>
      </c>
      <c r="C573" s="4">
        <v>9</v>
      </c>
      <c r="D573" s="8">
        <v>3.1</v>
      </c>
      <c r="E573" s="4">
        <v>2</v>
      </c>
      <c r="F573" s="8">
        <v>1.2</v>
      </c>
      <c r="G573" s="4">
        <v>7</v>
      </c>
      <c r="H573" s="8">
        <v>5.88</v>
      </c>
      <c r="I573" s="4">
        <v>0</v>
      </c>
    </row>
    <row r="574" spans="1:9" x14ac:dyDescent="0.2">
      <c r="A574" s="2">
        <v>4</v>
      </c>
      <c r="B574" s="1" t="s">
        <v>138</v>
      </c>
      <c r="C574" s="4">
        <v>9</v>
      </c>
      <c r="D574" s="8">
        <v>3.1</v>
      </c>
      <c r="E574" s="4">
        <v>3</v>
      </c>
      <c r="F574" s="8">
        <v>1.81</v>
      </c>
      <c r="G574" s="4">
        <v>6</v>
      </c>
      <c r="H574" s="8">
        <v>5.04</v>
      </c>
      <c r="I574" s="4">
        <v>0</v>
      </c>
    </row>
    <row r="575" spans="1:9" x14ac:dyDescent="0.2">
      <c r="A575" s="2">
        <v>4</v>
      </c>
      <c r="B575" s="1" t="s">
        <v>141</v>
      </c>
      <c r="C575" s="4">
        <v>9</v>
      </c>
      <c r="D575" s="8">
        <v>3.1</v>
      </c>
      <c r="E575" s="4">
        <v>5</v>
      </c>
      <c r="F575" s="8">
        <v>3.01</v>
      </c>
      <c r="G575" s="4">
        <v>4</v>
      </c>
      <c r="H575" s="8">
        <v>3.36</v>
      </c>
      <c r="I575" s="4">
        <v>0</v>
      </c>
    </row>
    <row r="576" spans="1:9" x14ac:dyDescent="0.2">
      <c r="A576" s="2">
        <v>4</v>
      </c>
      <c r="B576" s="1" t="s">
        <v>145</v>
      </c>
      <c r="C576" s="4">
        <v>9</v>
      </c>
      <c r="D576" s="8">
        <v>3.1</v>
      </c>
      <c r="E576" s="4">
        <v>8</v>
      </c>
      <c r="F576" s="8">
        <v>4.82</v>
      </c>
      <c r="G576" s="4">
        <v>1</v>
      </c>
      <c r="H576" s="8">
        <v>0.84</v>
      </c>
      <c r="I576" s="4">
        <v>0</v>
      </c>
    </row>
    <row r="577" spans="1:9" x14ac:dyDescent="0.2">
      <c r="A577" s="2">
        <v>4</v>
      </c>
      <c r="B577" s="1" t="s">
        <v>150</v>
      </c>
      <c r="C577" s="4">
        <v>9</v>
      </c>
      <c r="D577" s="8">
        <v>3.1</v>
      </c>
      <c r="E577" s="4">
        <v>9</v>
      </c>
      <c r="F577" s="8">
        <v>5.42</v>
      </c>
      <c r="G577" s="4">
        <v>0</v>
      </c>
      <c r="H577" s="8">
        <v>0</v>
      </c>
      <c r="I577" s="4">
        <v>0</v>
      </c>
    </row>
    <row r="578" spans="1:9" x14ac:dyDescent="0.2">
      <c r="A578" s="2">
        <v>9</v>
      </c>
      <c r="B578" s="1" t="s">
        <v>152</v>
      </c>
      <c r="C578" s="4">
        <v>7</v>
      </c>
      <c r="D578" s="8">
        <v>2.41</v>
      </c>
      <c r="E578" s="4">
        <v>5</v>
      </c>
      <c r="F578" s="8">
        <v>3.01</v>
      </c>
      <c r="G578" s="4">
        <v>2</v>
      </c>
      <c r="H578" s="8">
        <v>1.68</v>
      </c>
      <c r="I578" s="4">
        <v>0</v>
      </c>
    </row>
    <row r="579" spans="1:9" x14ac:dyDescent="0.2">
      <c r="A579" s="2">
        <v>10</v>
      </c>
      <c r="B579" s="1" t="s">
        <v>175</v>
      </c>
      <c r="C579" s="4">
        <v>6</v>
      </c>
      <c r="D579" s="8">
        <v>2.0699999999999998</v>
      </c>
      <c r="E579" s="4">
        <v>3</v>
      </c>
      <c r="F579" s="8">
        <v>1.81</v>
      </c>
      <c r="G579" s="4">
        <v>3</v>
      </c>
      <c r="H579" s="8">
        <v>2.52</v>
      </c>
      <c r="I579" s="4">
        <v>0</v>
      </c>
    </row>
    <row r="580" spans="1:9" x14ac:dyDescent="0.2">
      <c r="A580" s="2">
        <v>10</v>
      </c>
      <c r="B580" s="1" t="s">
        <v>163</v>
      </c>
      <c r="C580" s="4">
        <v>6</v>
      </c>
      <c r="D580" s="8">
        <v>2.0699999999999998</v>
      </c>
      <c r="E580" s="4">
        <v>2</v>
      </c>
      <c r="F580" s="8">
        <v>1.2</v>
      </c>
      <c r="G580" s="4">
        <v>4</v>
      </c>
      <c r="H580" s="8">
        <v>3.36</v>
      </c>
      <c r="I580" s="4">
        <v>0</v>
      </c>
    </row>
    <row r="581" spans="1:9" x14ac:dyDescent="0.2">
      <c r="A581" s="2">
        <v>10</v>
      </c>
      <c r="B581" s="1" t="s">
        <v>168</v>
      </c>
      <c r="C581" s="4">
        <v>6</v>
      </c>
      <c r="D581" s="8">
        <v>2.0699999999999998</v>
      </c>
      <c r="E581" s="4">
        <v>1</v>
      </c>
      <c r="F581" s="8">
        <v>0.6</v>
      </c>
      <c r="G581" s="4">
        <v>5</v>
      </c>
      <c r="H581" s="8">
        <v>4.2</v>
      </c>
      <c r="I581" s="4">
        <v>0</v>
      </c>
    </row>
    <row r="582" spans="1:9" x14ac:dyDescent="0.2">
      <c r="A582" s="2">
        <v>13</v>
      </c>
      <c r="B582" s="1" t="s">
        <v>143</v>
      </c>
      <c r="C582" s="4">
        <v>5</v>
      </c>
      <c r="D582" s="8">
        <v>1.72</v>
      </c>
      <c r="E582" s="4">
        <v>4</v>
      </c>
      <c r="F582" s="8">
        <v>2.41</v>
      </c>
      <c r="G582" s="4">
        <v>1</v>
      </c>
      <c r="H582" s="8">
        <v>0.84</v>
      </c>
      <c r="I582" s="4">
        <v>0</v>
      </c>
    </row>
    <row r="583" spans="1:9" x14ac:dyDescent="0.2">
      <c r="A583" s="2">
        <v>13</v>
      </c>
      <c r="B583" s="1" t="s">
        <v>155</v>
      </c>
      <c r="C583" s="4">
        <v>5</v>
      </c>
      <c r="D583" s="8">
        <v>1.72</v>
      </c>
      <c r="E583" s="4">
        <v>5</v>
      </c>
      <c r="F583" s="8">
        <v>3.01</v>
      </c>
      <c r="G583" s="4">
        <v>0</v>
      </c>
      <c r="H583" s="8">
        <v>0</v>
      </c>
      <c r="I583" s="4">
        <v>0</v>
      </c>
    </row>
    <row r="584" spans="1:9" x14ac:dyDescent="0.2">
      <c r="A584" s="2">
        <v>15</v>
      </c>
      <c r="B584" s="1" t="s">
        <v>136</v>
      </c>
      <c r="C584" s="4">
        <v>4</v>
      </c>
      <c r="D584" s="8">
        <v>1.38</v>
      </c>
      <c r="E584" s="4">
        <v>1</v>
      </c>
      <c r="F584" s="8">
        <v>0.6</v>
      </c>
      <c r="G584" s="4">
        <v>3</v>
      </c>
      <c r="H584" s="8">
        <v>2.52</v>
      </c>
      <c r="I584" s="4">
        <v>0</v>
      </c>
    </row>
    <row r="585" spans="1:9" x14ac:dyDescent="0.2">
      <c r="A585" s="2">
        <v>15</v>
      </c>
      <c r="B585" s="1" t="s">
        <v>137</v>
      </c>
      <c r="C585" s="4">
        <v>4</v>
      </c>
      <c r="D585" s="8">
        <v>1.38</v>
      </c>
      <c r="E585" s="4">
        <v>1</v>
      </c>
      <c r="F585" s="8">
        <v>0.6</v>
      </c>
      <c r="G585" s="4">
        <v>3</v>
      </c>
      <c r="H585" s="8">
        <v>2.52</v>
      </c>
      <c r="I585" s="4">
        <v>0</v>
      </c>
    </row>
    <row r="586" spans="1:9" x14ac:dyDescent="0.2">
      <c r="A586" s="2">
        <v>15</v>
      </c>
      <c r="B586" s="1" t="s">
        <v>189</v>
      </c>
      <c r="C586" s="4">
        <v>4</v>
      </c>
      <c r="D586" s="8">
        <v>1.38</v>
      </c>
      <c r="E586" s="4">
        <v>0</v>
      </c>
      <c r="F586" s="8">
        <v>0</v>
      </c>
      <c r="G586" s="4">
        <v>4</v>
      </c>
      <c r="H586" s="8">
        <v>3.36</v>
      </c>
      <c r="I586" s="4">
        <v>0</v>
      </c>
    </row>
    <row r="587" spans="1:9" x14ac:dyDescent="0.2">
      <c r="A587" s="2">
        <v>15</v>
      </c>
      <c r="B587" s="1" t="s">
        <v>196</v>
      </c>
      <c r="C587" s="4">
        <v>4</v>
      </c>
      <c r="D587" s="8">
        <v>1.38</v>
      </c>
      <c r="E587" s="4">
        <v>0</v>
      </c>
      <c r="F587" s="8">
        <v>0</v>
      </c>
      <c r="G587" s="4">
        <v>4</v>
      </c>
      <c r="H587" s="8">
        <v>3.36</v>
      </c>
      <c r="I587" s="4">
        <v>0</v>
      </c>
    </row>
    <row r="588" spans="1:9" x14ac:dyDescent="0.2">
      <c r="A588" s="2">
        <v>15</v>
      </c>
      <c r="B588" s="1" t="s">
        <v>166</v>
      </c>
      <c r="C588" s="4">
        <v>4</v>
      </c>
      <c r="D588" s="8">
        <v>1.38</v>
      </c>
      <c r="E588" s="4">
        <v>3</v>
      </c>
      <c r="F588" s="8">
        <v>1.81</v>
      </c>
      <c r="G588" s="4">
        <v>1</v>
      </c>
      <c r="H588" s="8">
        <v>0.84</v>
      </c>
      <c r="I588" s="4">
        <v>0</v>
      </c>
    </row>
    <row r="589" spans="1:9" x14ac:dyDescent="0.2">
      <c r="A589" s="2">
        <v>15</v>
      </c>
      <c r="B589" s="1" t="s">
        <v>167</v>
      </c>
      <c r="C589" s="4">
        <v>4</v>
      </c>
      <c r="D589" s="8">
        <v>1.38</v>
      </c>
      <c r="E589" s="4">
        <v>3</v>
      </c>
      <c r="F589" s="8">
        <v>1.81</v>
      </c>
      <c r="G589" s="4">
        <v>1</v>
      </c>
      <c r="H589" s="8">
        <v>0.84</v>
      </c>
      <c r="I589" s="4">
        <v>0</v>
      </c>
    </row>
    <row r="590" spans="1:9" x14ac:dyDescent="0.2">
      <c r="A590" s="2">
        <v>15</v>
      </c>
      <c r="B590" s="1" t="s">
        <v>205</v>
      </c>
      <c r="C590" s="4">
        <v>4</v>
      </c>
      <c r="D590" s="8">
        <v>1.38</v>
      </c>
      <c r="E590" s="4">
        <v>4</v>
      </c>
      <c r="F590" s="8">
        <v>2.41</v>
      </c>
      <c r="G590" s="4">
        <v>0</v>
      </c>
      <c r="H590" s="8">
        <v>0</v>
      </c>
      <c r="I590" s="4">
        <v>0</v>
      </c>
    </row>
    <row r="591" spans="1:9" x14ac:dyDescent="0.2">
      <c r="A591" s="2">
        <v>15</v>
      </c>
      <c r="B591" s="1" t="s">
        <v>153</v>
      </c>
      <c r="C591" s="4">
        <v>4</v>
      </c>
      <c r="D591" s="8">
        <v>1.38</v>
      </c>
      <c r="E591" s="4">
        <v>4</v>
      </c>
      <c r="F591" s="8">
        <v>2.41</v>
      </c>
      <c r="G591" s="4">
        <v>0</v>
      </c>
      <c r="H591" s="8">
        <v>0</v>
      </c>
      <c r="I591" s="4">
        <v>0</v>
      </c>
    </row>
    <row r="592" spans="1:9" x14ac:dyDescent="0.2">
      <c r="A592" s="2">
        <v>15</v>
      </c>
      <c r="B592" s="1" t="s">
        <v>216</v>
      </c>
      <c r="C592" s="4">
        <v>4</v>
      </c>
      <c r="D592" s="8">
        <v>1.38</v>
      </c>
      <c r="E592" s="4">
        <v>0</v>
      </c>
      <c r="F592" s="8">
        <v>0</v>
      </c>
      <c r="G592" s="4">
        <v>0</v>
      </c>
      <c r="H592" s="8">
        <v>0</v>
      </c>
      <c r="I592" s="4">
        <v>0</v>
      </c>
    </row>
    <row r="593" spans="1:9" x14ac:dyDescent="0.2">
      <c r="A593" s="2">
        <v>15</v>
      </c>
      <c r="B593" s="1" t="s">
        <v>154</v>
      </c>
      <c r="C593" s="4">
        <v>4</v>
      </c>
      <c r="D593" s="8">
        <v>1.38</v>
      </c>
      <c r="E593" s="4">
        <v>4</v>
      </c>
      <c r="F593" s="8">
        <v>2.41</v>
      </c>
      <c r="G593" s="4">
        <v>0</v>
      </c>
      <c r="H593" s="8">
        <v>0</v>
      </c>
      <c r="I593" s="4">
        <v>0</v>
      </c>
    </row>
    <row r="594" spans="1:9" x14ac:dyDescent="0.2">
      <c r="A594" s="1"/>
      <c r="C594" s="4"/>
      <c r="D594" s="8"/>
      <c r="E594" s="4"/>
      <c r="F594" s="8"/>
      <c r="G594" s="4"/>
      <c r="H594" s="8"/>
      <c r="I594" s="4"/>
    </row>
    <row r="595" spans="1:9" x14ac:dyDescent="0.2">
      <c r="A595" s="1" t="s">
        <v>24</v>
      </c>
      <c r="C595" s="4"/>
      <c r="D595" s="8"/>
      <c r="E595" s="4"/>
      <c r="F595" s="8"/>
      <c r="G595" s="4"/>
      <c r="H595" s="8"/>
      <c r="I595" s="4"/>
    </row>
    <row r="596" spans="1:9" x14ac:dyDescent="0.2">
      <c r="A596" s="2">
        <v>1</v>
      </c>
      <c r="B596" s="1" t="s">
        <v>154</v>
      </c>
      <c r="C596" s="4">
        <v>19</v>
      </c>
      <c r="D596" s="8">
        <v>7.63</v>
      </c>
      <c r="E596" s="4">
        <v>17</v>
      </c>
      <c r="F596" s="8">
        <v>10.119999999999999</v>
      </c>
      <c r="G596" s="4">
        <v>2</v>
      </c>
      <c r="H596" s="8">
        <v>2.5299999999999998</v>
      </c>
      <c r="I596" s="4">
        <v>0</v>
      </c>
    </row>
    <row r="597" spans="1:9" x14ac:dyDescent="0.2">
      <c r="A597" s="2">
        <v>2</v>
      </c>
      <c r="B597" s="1" t="s">
        <v>140</v>
      </c>
      <c r="C597" s="4">
        <v>14</v>
      </c>
      <c r="D597" s="8">
        <v>5.62</v>
      </c>
      <c r="E597" s="4">
        <v>13</v>
      </c>
      <c r="F597" s="8">
        <v>7.74</v>
      </c>
      <c r="G597" s="4">
        <v>1</v>
      </c>
      <c r="H597" s="8">
        <v>1.27</v>
      </c>
      <c r="I597" s="4">
        <v>0</v>
      </c>
    </row>
    <row r="598" spans="1:9" x14ac:dyDescent="0.2">
      <c r="A598" s="2">
        <v>3</v>
      </c>
      <c r="B598" s="1" t="s">
        <v>151</v>
      </c>
      <c r="C598" s="4">
        <v>10</v>
      </c>
      <c r="D598" s="8">
        <v>4.0199999999999996</v>
      </c>
      <c r="E598" s="4">
        <v>10</v>
      </c>
      <c r="F598" s="8">
        <v>5.95</v>
      </c>
      <c r="G598" s="4">
        <v>0</v>
      </c>
      <c r="H598" s="8">
        <v>0</v>
      </c>
      <c r="I598" s="4">
        <v>0</v>
      </c>
    </row>
    <row r="599" spans="1:9" x14ac:dyDescent="0.2">
      <c r="A599" s="2">
        <v>4</v>
      </c>
      <c r="B599" s="1" t="s">
        <v>135</v>
      </c>
      <c r="C599" s="4">
        <v>9</v>
      </c>
      <c r="D599" s="8">
        <v>3.61</v>
      </c>
      <c r="E599" s="4">
        <v>4</v>
      </c>
      <c r="F599" s="8">
        <v>2.38</v>
      </c>
      <c r="G599" s="4">
        <v>5</v>
      </c>
      <c r="H599" s="8">
        <v>6.33</v>
      </c>
      <c r="I599" s="4">
        <v>0</v>
      </c>
    </row>
    <row r="600" spans="1:9" x14ac:dyDescent="0.2">
      <c r="A600" s="2">
        <v>4</v>
      </c>
      <c r="B600" s="1" t="s">
        <v>137</v>
      </c>
      <c r="C600" s="4">
        <v>9</v>
      </c>
      <c r="D600" s="8">
        <v>3.61</v>
      </c>
      <c r="E600" s="4">
        <v>7</v>
      </c>
      <c r="F600" s="8">
        <v>4.17</v>
      </c>
      <c r="G600" s="4">
        <v>2</v>
      </c>
      <c r="H600" s="8">
        <v>2.5299999999999998</v>
      </c>
      <c r="I600" s="4">
        <v>0</v>
      </c>
    </row>
    <row r="601" spans="1:9" x14ac:dyDescent="0.2">
      <c r="A601" s="2">
        <v>4</v>
      </c>
      <c r="B601" s="1" t="s">
        <v>168</v>
      </c>
      <c r="C601" s="4">
        <v>9</v>
      </c>
      <c r="D601" s="8">
        <v>3.61</v>
      </c>
      <c r="E601" s="4">
        <v>0</v>
      </c>
      <c r="F601" s="8">
        <v>0</v>
      </c>
      <c r="G601" s="4">
        <v>9</v>
      </c>
      <c r="H601" s="8">
        <v>11.39</v>
      </c>
      <c r="I601" s="4">
        <v>0</v>
      </c>
    </row>
    <row r="602" spans="1:9" x14ac:dyDescent="0.2">
      <c r="A602" s="2">
        <v>7</v>
      </c>
      <c r="B602" s="1" t="s">
        <v>138</v>
      </c>
      <c r="C602" s="4">
        <v>8</v>
      </c>
      <c r="D602" s="8">
        <v>3.21</v>
      </c>
      <c r="E602" s="4">
        <v>7</v>
      </c>
      <c r="F602" s="8">
        <v>4.17</v>
      </c>
      <c r="G602" s="4">
        <v>1</v>
      </c>
      <c r="H602" s="8">
        <v>1.27</v>
      </c>
      <c r="I602" s="4">
        <v>0</v>
      </c>
    </row>
    <row r="603" spans="1:9" x14ac:dyDescent="0.2">
      <c r="A603" s="2">
        <v>7</v>
      </c>
      <c r="B603" s="1" t="s">
        <v>141</v>
      </c>
      <c r="C603" s="4">
        <v>8</v>
      </c>
      <c r="D603" s="8">
        <v>3.21</v>
      </c>
      <c r="E603" s="4">
        <v>6</v>
      </c>
      <c r="F603" s="8">
        <v>3.57</v>
      </c>
      <c r="G603" s="4">
        <v>2</v>
      </c>
      <c r="H603" s="8">
        <v>2.5299999999999998</v>
      </c>
      <c r="I603" s="4">
        <v>0</v>
      </c>
    </row>
    <row r="604" spans="1:9" x14ac:dyDescent="0.2">
      <c r="A604" s="2">
        <v>7</v>
      </c>
      <c r="B604" s="1" t="s">
        <v>152</v>
      </c>
      <c r="C604" s="4">
        <v>8</v>
      </c>
      <c r="D604" s="8">
        <v>3.21</v>
      </c>
      <c r="E604" s="4">
        <v>8</v>
      </c>
      <c r="F604" s="8">
        <v>4.76</v>
      </c>
      <c r="G604" s="4">
        <v>0</v>
      </c>
      <c r="H604" s="8">
        <v>0</v>
      </c>
      <c r="I604" s="4">
        <v>0</v>
      </c>
    </row>
    <row r="605" spans="1:9" x14ac:dyDescent="0.2">
      <c r="A605" s="2">
        <v>10</v>
      </c>
      <c r="B605" s="1" t="s">
        <v>147</v>
      </c>
      <c r="C605" s="4">
        <v>7</v>
      </c>
      <c r="D605" s="8">
        <v>2.81</v>
      </c>
      <c r="E605" s="4">
        <v>5</v>
      </c>
      <c r="F605" s="8">
        <v>2.98</v>
      </c>
      <c r="G605" s="4">
        <v>2</v>
      </c>
      <c r="H605" s="8">
        <v>2.5299999999999998</v>
      </c>
      <c r="I605" s="4">
        <v>0</v>
      </c>
    </row>
    <row r="606" spans="1:9" x14ac:dyDescent="0.2">
      <c r="A606" s="2">
        <v>11</v>
      </c>
      <c r="B606" s="1" t="s">
        <v>150</v>
      </c>
      <c r="C606" s="4">
        <v>6</v>
      </c>
      <c r="D606" s="8">
        <v>2.41</v>
      </c>
      <c r="E606" s="4">
        <v>6</v>
      </c>
      <c r="F606" s="8">
        <v>3.57</v>
      </c>
      <c r="G606" s="4">
        <v>0</v>
      </c>
      <c r="H606" s="8">
        <v>0</v>
      </c>
      <c r="I606" s="4">
        <v>0</v>
      </c>
    </row>
    <row r="607" spans="1:9" x14ac:dyDescent="0.2">
      <c r="A607" s="2">
        <v>12</v>
      </c>
      <c r="B607" s="1" t="s">
        <v>136</v>
      </c>
      <c r="C607" s="4">
        <v>4</v>
      </c>
      <c r="D607" s="8">
        <v>1.61</v>
      </c>
      <c r="E607" s="4">
        <v>2</v>
      </c>
      <c r="F607" s="8">
        <v>1.19</v>
      </c>
      <c r="G607" s="4">
        <v>2</v>
      </c>
      <c r="H607" s="8">
        <v>2.5299999999999998</v>
      </c>
      <c r="I607" s="4">
        <v>0</v>
      </c>
    </row>
    <row r="608" spans="1:9" x14ac:dyDescent="0.2">
      <c r="A608" s="2">
        <v>12</v>
      </c>
      <c r="B608" s="1" t="s">
        <v>184</v>
      </c>
      <c r="C608" s="4">
        <v>4</v>
      </c>
      <c r="D608" s="8">
        <v>1.61</v>
      </c>
      <c r="E608" s="4">
        <v>3</v>
      </c>
      <c r="F608" s="8">
        <v>1.79</v>
      </c>
      <c r="G608" s="4">
        <v>1</v>
      </c>
      <c r="H608" s="8">
        <v>1.27</v>
      </c>
      <c r="I608" s="4">
        <v>0</v>
      </c>
    </row>
    <row r="609" spans="1:9" x14ac:dyDescent="0.2">
      <c r="A609" s="2">
        <v>12</v>
      </c>
      <c r="B609" s="1" t="s">
        <v>213</v>
      </c>
      <c r="C609" s="4">
        <v>4</v>
      </c>
      <c r="D609" s="8">
        <v>1.61</v>
      </c>
      <c r="E609" s="4">
        <v>3</v>
      </c>
      <c r="F609" s="8">
        <v>1.79</v>
      </c>
      <c r="G609" s="4">
        <v>1</v>
      </c>
      <c r="H609" s="8">
        <v>1.27</v>
      </c>
      <c r="I609" s="4">
        <v>0</v>
      </c>
    </row>
    <row r="610" spans="1:9" x14ac:dyDescent="0.2">
      <c r="A610" s="2">
        <v>12</v>
      </c>
      <c r="B610" s="1" t="s">
        <v>174</v>
      </c>
      <c r="C610" s="4">
        <v>4</v>
      </c>
      <c r="D610" s="8">
        <v>1.61</v>
      </c>
      <c r="E610" s="4">
        <v>4</v>
      </c>
      <c r="F610" s="8">
        <v>2.38</v>
      </c>
      <c r="G610" s="4">
        <v>0</v>
      </c>
      <c r="H610" s="8">
        <v>0</v>
      </c>
      <c r="I610" s="4">
        <v>0</v>
      </c>
    </row>
    <row r="611" spans="1:9" x14ac:dyDescent="0.2">
      <c r="A611" s="2">
        <v>12</v>
      </c>
      <c r="B611" s="1" t="s">
        <v>142</v>
      </c>
      <c r="C611" s="4">
        <v>4</v>
      </c>
      <c r="D611" s="8">
        <v>1.61</v>
      </c>
      <c r="E611" s="4">
        <v>4</v>
      </c>
      <c r="F611" s="8">
        <v>2.38</v>
      </c>
      <c r="G611" s="4">
        <v>0</v>
      </c>
      <c r="H611" s="8">
        <v>0</v>
      </c>
      <c r="I611" s="4">
        <v>0</v>
      </c>
    </row>
    <row r="612" spans="1:9" x14ac:dyDescent="0.2">
      <c r="A612" s="2">
        <v>12</v>
      </c>
      <c r="B612" s="1" t="s">
        <v>153</v>
      </c>
      <c r="C612" s="4">
        <v>4</v>
      </c>
      <c r="D612" s="8">
        <v>1.61</v>
      </c>
      <c r="E612" s="4">
        <v>4</v>
      </c>
      <c r="F612" s="8">
        <v>2.38</v>
      </c>
      <c r="G612" s="4">
        <v>0</v>
      </c>
      <c r="H612" s="8">
        <v>0</v>
      </c>
      <c r="I612" s="4">
        <v>0</v>
      </c>
    </row>
    <row r="613" spans="1:9" x14ac:dyDescent="0.2">
      <c r="A613" s="2">
        <v>18</v>
      </c>
      <c r="B613" s="1" t="s">
        <v>163</v>
      </c>
      <c r="C613" s="4">
        <v>3</v>
      </c>
      <c r="D613" s="8">
        <v>1.2</v>
      </c>
      <c r="E613" s="4">
        <v>2</v>
      </c>
      <c r="F613" s="8">
        <v>1.19</v>
      </c>
      <c r="G613" s="4">
        <v>1</v>
      </c>
      <c r="H613" s="8">
        <v>1.27</v>
      </c>
      <c r="I613" s="4">
        <v>0</v>
      </c>
    </row>
    <row r="614" spans="1:9" x14ac:dyDescent="0.2">
      <c r="A614" s="2">
        <v>18</v>
      </c>
      <c r="B614" s="1" t="s">
        <v>186</v>
      </c>
      <c r="C614" s="4">
        <v>3</v>
      </c>
      <c r="D614" s="8">
        <v>1.2</v>
      </c>
      <c r="E614" s="4">
        <v>2</v>
      </c>
      <c r="F614" s="8">
        <v>1.19</v>
      </c>
      <c r="G614" s="4">
        <v>1</v>
      </c>
      <c r="H614" s="8">
        <v>1.27</v>
      </c>
      <c r="I614" s="4">
        <v>0</v>
      </c>
    </row>
    <row r="615" spans="1:9" x14ac:dyDescent="0.2">
      <c r="A615" s="2">
        <v>18</v>
      </c>
      <c r="B615" s="1" t="s">
        <v>217</v>
      </c>
      <c r="C615" s="4">
        <v>3</v>
      </c>
      <c r="D615" s="8">
        <v>1.2</v>
      </c>
      <c r="E615" s="4">
        <v>0</v>
      </c>
      <c r="F615" s="8">
        <v>0</v>
      </c>
      <c r="G615" s="4">
        <v>3</v>
      </c>
      <c r="H615" s="8">
        <v>3.8</v>
      </c>
      <c r="I615" s="4">
        <v>0</v>
      </c>
    </row>
    <row r="616" spans="1:9" x14ac:dyDescent="0.2">
      <c r="A616" s="2">
        <v>18</v>
      </c>
      <c r="B616" s="1" t="s">
        <v>218</v>
      </c>
      <c r="C616" s="4">
        <v>3</v>
      </c>
      <c r="D616" s="8">
        <v>1.2</v>
      </c>
      <c r="E616" s="4">
        <v>1</v>
      </c>
      <c r="F616" s="8">
        <v>0.6</v>
      </c>
      <c r="G616" s="4">
        <v>2</v>
      </c>
      <c r="H616" s="8">
        <v>2.5299999999999998</v>
      </c>
      <c r="I616" s="4">
        <v>0</v>
      </c>
    </row>
    <row r="617" spans="1:9" x14ac:dyDescent="0.2">
      <c r="A617" s="2">
        <v>18</v>
      </c>
      <c r="B617" s="1" t="s">
        <v>166</v>
      </c>
      <c r="C617" s="4">
        <v>3</v>
      </c>
      <c r="D617" s="8">
        <v>1.2</v>
      </c>
      <c r="E617" s="4">
        <v>3</v>
      </c>
      <c r="F617" s="8">
        <v>1.79</v>
      </c>
      <c r="G617" s="4">
        <v>0</v>
      </c>
      <c r="H617" s="8">
        <v>0</v>
      </c>
      <c r="I617" s="4">
        <v>0</v>
      </c>
    </row>
    <row r="618" spans="1:9" x14ac:dyDescent="0.2">
      <c r="A618" s="2">
        <v>18</v>
      </c>
      <c r="B618" s="1" t="s">
        <v>202</v>
      </c>
      <c r="C618" s="4">
        <v>3</v>
      </c>
      <c r="D618" s="8">
        <v>1.2</v>
      </c>
      <c r="E618" s="4">
        <v>3</v>
      </c>
      <c r="F618" s="8">
        <v>1.79</v>
      </c>
      <c r="G618" s="4">
        <v>0</v>
      </c>
      <c r="H618" s="8">
        <v>0</v>
      </c>
      <c r="I618" s="4">
        <v>0</v>
      </c>
    </row>
    <row r="619" spans="1:9" x14ac:dyDescent="0.2">
      <c r="A619" s="2">
        <v>18</v>
      </c>
      <c r="B619" s="1" t="s">
        <v>143</v>
      </c>
      <c r="C619" s="4">
        <v>3</v>
      </c>
      <c r="D619" s="8">
        <v>1.2</v>
      </c>
      <c r="E619" s="4">
        <v>2</v>
      </c>
      <c r="F619" s="8">
        <v>1.19</v>
      </c>
      <c r="G619" s="4">
        <v>1</v>
      </c>
      <c r="H619" s="8">
        <v>1.27</v>
      </c>
      <c r="I619" s="4">
        <v>0</v>
      </c>
    </row>
    <row r="620" spans="1:9" x14ac:dyDescent="0.2">
      <c r="A620" s="2">
        <v>18</v>
      </c>
      <c r="B620" s="1" t="s">
        <v>145</v>
      </c>
      <c r="C620" s="4">
        <v>3</v>
      </c>
      <c r="D620" s="8">
        <v>1.2</v>
      </c>
      <c r="E620" s="4">
        <v>3</v>
      </c>
      <c r="F620" s="8">
        <v>1.79</v>
      </c>
      <c r="G620" s="4">
        <v>0</v>
      </c>
      <c r="H620" s="8">
        <v>0</v>
      </c>
      <c r="I620" s="4">
        <v>0</v>
      </c>
    </row>
    <row r="621" spans="1:9" x14ac:dyDescent="0.2">
      <c r="A621" s="2">
        <v>18</v>
      </c>
      <c r="B621" s="1" t="s">
        <v>159</v>
      </c>
      <c r="C621" s="4">
        <v>3</v>
      </c>
      <c r="D621" s="8">
        <v>1.2</v>
      </c>
      <c r="E621" s="4">
        <v>3</v>
      </c>
      <c r="F621" s="8">
        <v>1.79</v>
      </c>
      <c r="G621" s="4">
        <v>0</v>
      </c>
      <c r="H621" s="8">
        <v>0</v>
      </c>
      <c r="I621" s="4">
        <v>0</v>
      </c>
    </row>
    <row r="622" spans="1:9" x14ac:dyDescent="0.2">
      <c r="A622" s="2">
        <v>18</v>
      </c>
      <c r="B622" s="1" t="s">
        <v>180</v>
      </c>
      <c r="C622" s="4">
        <v>3</v>
      </c>
      <c r="D622" s="8">
        <v>1.2</v>
      </c>
      <c r="E622" s="4">
        <v>0</v>
      </c>
      <c r="F622" s="8">
        <v>0</v>
      </c>
      <c r="G622" s="4">
        <v>3</v>
      </c>
      <c r="H622" s="8">
        <v>3.8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25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151</v>
      </c>
      <c r="C625" s="4">
        <v>28</v>
      </c>
      <c r="D625" s="8">
        <v>4.6500000000000004</v>
      </c>
      <c r="E625" s="4">
        <v>23</v>
      </c>
      <c r="F625" s="8">
        <v>8.98</v>
      </c>
      <c r="G625" s="4">
        <v>5</v>
      </c>
      <c r="H625" s="8">
        <v>1.48</v>
      </c>
      <c r="I625" s="4">
        <v>0</v>
      </c>
    </row>
    <row r="626" spans="1:9" x14ac:dyDescent="0.2">
      <c r="A626" s="2">
        <v>2</v>
      </c>
      <c r="B626" s="1" t="s">
        <v>145</v>
      </c>
      <c r="C626" s="4">
        <v>25</v>
      </c>
      <c r="D626" s="8">
        <v>4.1500000000000004</v>
      </c>
      <c r="E626" s="4">
        <v>11</v>
      </c>
      <c r="F626" s="8">
        <v>4.3</v>
      </c>
      <c r="G626" s="4">
        <v>13</v>
      </c>
      <c r="H626" s="8">
        <v>3.85</v>
      </c>
      <c r="I626" s="4">
        <v>0</v>
      </c>
    </row>
    <row r="627" spans="1:9" x14ac:dyDescent="0.2">
      <c r="A627" s="2">
        <v>3</v>
      </c>
      <c r="B627" s="1" t="s">
        <v>150</v>
      </c>
      <c r="C627" s="4">
        <v>20</v>
      </c>
      <c r="D627" s="8">
        <v>3.32</v>
      </c>
      <c r="E627" s="4">
        <v>19</v>
      </c>
      <c r="F627" s="8">
        <v>7.42</v>
      </c>
      <c r="G627" s="4">
        <v>1</v>
      </c>
      <c r="H627" s="8">
        <v>0.3</v>
      </c>
      <c r="I627" s="4">
        <v>0</v>
      </c>
    </row>
    <row r="628" spans="1:9" x14ac:dyDescent="0.2">
      <c r="A628" s="2">
        <v>4</v>
      </c>
      <c r="B628" s="1" t="s">
        <v>141</v>
      </c>
      <c r="C628" s="4">
        <v>18</v>
      </c>
      <c r="D628" s="8">
        <v>2.99</v>
      </c>
      <c r="E628" s="4">
        <v>12</v>
      </c>
      <c r="F628" s="8">
        <v>4.6900000000000004</v>
      </c>
      <c r="G628" s="4">
        <v>6</v>
      </c>
      <c r="H628" s="8">
        <v>1.78</v>
      </c>
      <c r="I628" s="4">
        <v>0</v>
      </c>
    </row>
    <row r="629" spans="1:9" x14ac:dyDescent="0.2">
      <c r="A629" s="2">
        <v>5</v>
      </c>
      <c r="B629" s="1" t="s">
        <v>135</v>
      </c>
      <c r="C629" s="4">
        <v>17</v>
      </c>
      <c r="D629" s="8">
        <v>2.82</v>
      </c>
      <c r="E629" s="4">
        <v>1</v>
      </c>
      <c r="F629" s="8">
        <v>0.39</v>
      </c>
      <c r="G629" s="4">
        <v>16</v>
      </c>
      <c r="H629" s="8">
        <v>4.7300000000000004</v>
      </c>
      <c r="I629" s="4">
        <v>0</v>
      </c>
    </row>
    <row r="630" spans="1:9" x14ac:dyDescent="0.2">
      <c r="A630" s="2">
        <v>5</v>
      </c>
      <c r="B630" s="1" t="s">
        <v>152</v>
      </c>
      <c r="C630" s="4">
        <v>17</v>
      </c>
      <c r="D630" s="8">
        <v>2.82</v>
      </c>
      <c r="E630" s="4">
        <v>13</v>
      </c>
      <c r="F630" s="8">
        <v>5.08</v>
      </c>
      <c r="G630" s="4">
        <v>4</v>
      </c>
      <c r="H630" s="8">
        <v>1.18</v>
      </c>
      <c r="I630" s="4">
        <v>0</v>
      </c>
    </row>
    <row r="631" spans="1:9" x14ac:dyDescent="0.2">
      <c r="A631" s="2">
        <v>7</v>
      </c>
      <c r="B631" s="1" t="s">
        <v>140</v>
      </c>
      <c r="C631" s="4">
        <v>14</v>
      </c>
      <c r="D631" s="8">
        <v>2.33</v>
      </c>
      <c r="E631" s="4">
        <v>7</v>
      </c>
      <c r="F631" s="8">
        <v>2.73</v>
      </c>
      <c r="G631" s="4">
        <v>7</v>
      </c>
      <c r="H631" s="8">
        <v>2.0699999999999998</v>
      </c>
      <c r="I631" s="4">
        <v>0</v>
      </c>
    </row>
    <row r="632" spans="1:9" x14ac:dyDescent="0.2">
      <c r="A632" s="2">
        <v>7</v>
      </c>
      <c r="B632" s="1" t="s">
        <v>148</v>
      </c>
      <c r="C632" s="4">
        <v>14</v>
      </c>
      <c r="D632" s="8">
        <v>2.33</v>
      </c>
      <c r="E632" s="4">
        <v>9</v>
      </c>
      <c r="F632" s="8">
        <v>3.52</v>
      </c>
      <c r="G632" s="4">
        <v>5</v>
      </c>
      <c r="H632" s="8">
        <v>1.48</v>
      </c>
      <c r="I632" s="4">
        <v>0</v>
      </c>
    </row>
    <row r="633" spans="1:9" x14ac:dyDescent="0.2">
      <c r="A633" s="2">
        <v>7</v>
      </c>
      <c r="B633" s="1" t="s">
        <v>154</v>
      </c>
      <c r="C633" s="4">
        <v>14</v>
      </c>
      <c r="D633" s="8">
        <v>2.33</v>
      </c>
      <c r="E633" s="4">
        <v>10</v>
      </c>
      <c r="F633" s="8">
        <v>3.91</v>
      </c>
      <c r="G633" s="4">
        <v>4</v>
      </c>
      <c r="H633" s="8">
        <v>1.18</v>
      </c>
      <c r="I633" s="4">
        <v>0</v>
      </c>
    </row>
    <row r="634" spans="1:9" x14ac:dyDescent="0.2">
      <c r="A634" s="2">
        <v>10</v>
      </c>
      <c r="B634" s="1" t="s">
        <v>149</v>
      </c>
      <c r="C634" s="4">
        <v>13</v>
      </c>
      <c r="D634" s="8">
        <v>2.16</v>
      </c>
      <c r="E634" s="4">
        <v>11</v>
      </c>
      <c r="F634" s="8">
        <v>4.3</v>
      </c>
      <c r="G634" s="4">
        <v>2</v>
      </c>
      <c r="H634" s="8">
        <v>0.59</v>
      </c>
      <c r="I634" s="4">
        <v>0</v>
      </c>
    </row>
    <row r="635" spans="1:9" x14ac:dyDescent="0.2">
      <c r="A635" s="2">
        <v>11</v>
      </c>
      <c r="B635" s="1" t="s">
        <v>147</v>
      </c>
      <c r="C635" s="4">
        <v>12</v>
      </c>
      <c r="D635" s="8">
        <v>1.99</v>
      </c>
      <c r="E635" s="4">
        <v>7</v>
      </c>
      <c r="F635" s="8">
        <v>2.73</v>
      </c>
      <c r="G635" s="4">
        <v>5</v>
      </c>
      <c r="H635" s="8">
        <v>1.48</v>
      </c>
      <c r="I635" s="4">
        <v>0</v>
      </c>
    </row>
    <row r="636" spans="1:9" x14ac:dyDescent="0.2">
      <c r="A636" s="2">
        <v>12</v>
      </c>
      <c r="B636" s="1" t="s">
        <v>136</v>
      </c>
      <c r="C636" s="4">
        <v>10</v>
      </c>
      <c r="D636" s="8">
        <v>1.66</v>
      </c>
      <c r="E636" s="4">
        <v>0</v>
      </c>
      <c r="F636" s="8">
        <v>0</v>
      </c>
      <c r="G636" s="4">
        <v>10</v>
      </c>
      <c r="H636" s="8">
        <v>2.96</v>
      </c>
      <c r="I636" s="4">
        <v>0</v>
      </c>
    </row>
    <row r="637" spans="1:9" x14ac:dyDescent="0.2">
      <c r="A637" s="2">
        <v>12</v>
      </c>
      <c r="B637" s="1" t="s">
        <v>166</v>
      </c>
      <c r="C637" s="4">
        <v>10</v>
      </c>
      <c r="D637" s="8">
        <v>1.66</v>
      </c>
      <c r="E637" s="4">
        <v>7</v>
      </c>
      <c r="F637" s="8">
        <v>2.73</v>
      </c>
      <c r="G637" s="4">
        <v>3</v>
      </c>
      <c r="H637" s="8">
        <v>0.89</v>
      </c>
      <c r="I637" s="4">
        <v>0</v>
      </c>
    </row>
    <row r="638" spans="1:9" x14ac:dyDescent="0.2">
      <c r="A638" s="2">
        <v>12</v>
      </c>
      <c r="B638" s="1" t="s">
        <v>143</v>
      </c>
      <c r="C638" s="4">
        <v>10</v>
      </c>
      <c r="D638" s="8">
        <v>1.66</v>
      </c>
      <c r="E638" s="4">
        <v>7</v>
      </c>
      <c r="F638" s="8">
        <v>2.73</v>
      </c>
      <c r="G638" s="4">
        <v>3</v>
      </c>
      <c r="H638" s="8">
        <v>0.89</v>
      </c>
      <c r="I638" s="4">
        <v>0</v>
      </c>
    </row>
    <row r="639" spans="1:9" x14ac:dyDescent="0.2">
      <c r="A639" s="2">
        <v>12</v>
      </c>
      <c r="B639" s="1" t="s">
        <v>146</v>
      </c>
      <c r="C639" s="4">
        <v>10</v>
      </c>
      <c r="D639" s="8">
        <v>1.66</v>
      </c>
      <c r="E639" s="4">
        <v>0</v>
      </c>
      <c r="F639" s="8">
        <v>0</v>
      </c>
      <c r="G639" s="4">
        <v>10</v>
      </c>
      <c r="H639" s="8">
        <v>2.96</v>
      </c>
      <c r="I639" s="4">
        <v>0</v>
      </c>
    </row>
    <row r="640" spans="1:9" x14ac:dyDescent="0.2">
      <c r="A640" s="2">
        <v>16</v>
      </c>
      <c r="B640" s="1" t="s">
        <v>163</v>
      </c>
      <c r="C640" s="4">
        <v>9</v>
      </c>
      <c r="D640" s="8">
        <v>1.5</v>
      </c>
      <c r="E640" s="4">
        <v>3</v>
      </c>
      <c r="F640" s="8">
        <v>1.17</v>
      </c>
      <c r="G640" s="4">
        <v>6</v>
      </c>
      <c r="H640" s="8">
        <v>1.78</v>
      </c>
      <c r="I640" s="4">
        <v>0</v>
      </c>
    </row>
    <row r="641" spans="1:9" x14ac:dyDescent="0.2">
      <c r="A641" s="2">
        <v>16</v>
      </c>
      <c r="B641" s="1" t="s">
        <v>168</v>
      </c>
      <c r="C641" s="4">
        <v>9</v>
      </c>
      <c r="D641" s="8">
        <v>1.5</v>
      </c>
      <c r="E641" s="4">
        <v>2</v>
      </c>
      <c r="F641" s="8">
        <v>0.78</v>
      </c>
      <c r="G641" s="4">
        <v>7</v>
      </c>
      <c r="H641" s="8">
        <v>2.0699999999999998</v>
      </c>
      <c r="I641" s="4">
        <v>0</v>
      </c>
    </row>
    <row r="642" spans="1:9" x14ac:dyDescent="0.2">
      <c r="A642" s="2">
        <v>18</v>
      </c>
      <c r="B642" s="1" t="s">
        <v>160</v>
      </c>
      <c r="C642" s="4">
        <v>8</v>
      </c>
      <c r="D642" s="8">
        <v>1.33</v>
      </c>
      <c r="E642" s="4">
        <v>5</v>
      </c>
      <c r="F642" s="8">
        <v>1.95</v>
      </c>
      <c r="G642" s="4">
        <v>3</v>
      </c>
      <c r="H642" s="8">
        <v>0.89</v>
      </c>
      <c r="I642" s="4">
        <v>0</v>
      </c>
    </row>
    <row r="643" spans="1:9" x14ac:dyDescent="0.2">
      <c r="A643" s="2">
        <v>18</v>
      </c>
      <c r="B643" s="1" t="s">
        <v>153</v>
      </c>
      <c r="C643" s="4">
        <v>8</v>
      </c>
      <c r="D643" s="8">
        <v>1.33</v>
      </c>
      <c r="E643" s="4">
        <v>7</v>
      </c>
      <c r="F643" s="8">
        <v>2.73</v>
      </c>
      <c r="G643" s="4">
        <v>1</v>
      </c>
      <c r="H643" s="8">
        <v>0.3</v>
      </c>
      <c r="I643" s="4">
        <v>0</v>
      </c>
    </row>
    <row r="644" spans="1:9" x14ac:dyDescent="0.2">
      <c r="A644" s="2">
        <v>20</v>
      </c>
      <c r="B644" s="1" t="s">
        <v>138</v>
      </c>
      <c r="C644" s="4">
        <v>7</v>
      </c>
      <c r="D644" s="8">
        <v>1.1599999999999999</v>
      </c>
      <c r="E644" s="4">
        <v>3</v>
      </c>
      <c r="F644" s="8">
        <v>1.17</v>
      </c>
      <c r="G644" s="4">
        <v>4</v>
      </c>
      <c r="H644" s="8">
        <v>1.18</v>
      </c>
      <c r="I644" s="4">
        <v>0</v>
      </c>
    </row>
    <row r="645" spans="1:9" x14ac:dyDescent="0.2">
      <c r="A645" s="2">
        <v>20</v>
      </c>
      <c r="B645" s="1" t="s">
        <v>142</v>
      </c>
      <c r="C645" s="4">
        <v>7</v>
      </c>
      <c r="D645" s="8">
        <v>1.1599999999999999</v>
      </c>
      <c r="E645" s="4">
        <v>3</v>
      </c>
      <c r="F645" s="8">
        <v>1.17</v>
      </c>
      <c r="G645" s="4">
        <v>4</v>
      </c>
      <c r="H645" s="8">
        <v>1.18</v>
      </c>
      <c r="I645" s="4">
        <v>0</v>
      </c>
    </row>
    <row r="646" spans="1:9" x14ac:dyDescent="0.2">
      <c r="A646" s="2">
        <v>20</v>
      </c>
      <c r="B646" s="1" t="s">
        <v>170</v>
      </c>
      <c r="C646" s="4">
        <v>7</v>
      </c>
      <c r="D646" s="8">
        <v>1.1599999999999999</v>
      </c>
      <c r="E646" s="4">
        <v>3</v>
      </c>
      <c r="F646" s="8">
        <v>1.17</v>
      </c>
      <c r="G646" s="4">
        <v>4</v>
      </c>
      <c r="H646" s="8">
        <v>1.18</v>
      </c>
      <c r="I646" s="4">
        <v>0</v>
      </c>
    </row>
    <row r="647" spans="1:9" x14ac:dyDescent="0.2">
      <c r="A647" s="2">
        <v>20</v>
      </c>
      <c r="B647" s="1" t="s">
        <v>172</v>
      </c>
      <c r="C647" s="4">
        <v>7</v>
      </c>
      <c r="D647" s="8">
        <v>1.1599999999999999</v>
      </c>
      <c r="E647" s="4">
        <v>5</v>
      </c>
      <c r="F647" s="8">
        <v>1.95</v>
      </c>
      <c r="G647" s="4">
        <v>2</v>
      </c>
      <c r="H647" s="8">
        <v>0.59</v>
      </c>
      <c r="I647" s="4">
        <v>0</v>
      </c>
    </row>
    <row r="648" spans="1:9" x14ac:dyDescent="0.2">
      <c r="A648" s="1"/>
      <c r="C648" s="4"/>
      <c r="D648" s="8"/>
      <c r="E648" s="4"/>
      <c r="F648" s="8"/>
      <c r="G648" s="4"/>
      <c r="H648" s="8"/>
      <c r="I648" s="4"/>
    </row>
    <row r="649" spans="1:9" x14ac:dyDescent="0.2">
      <c r="A649" s="1" t="s">
        <v>26</v>
      </c>
      <c r="C649" s="4"/>
      <c r="D649" s="8"/>
      <c r="E649" s="4"/>
      <c r="F649" s="8"/>
      <c r="G649" s="4"/>
      <c r="H649" s="8"/>
      <c r="I649" s="4"/>
    </row>
    <row r="650" spans="1:9" x14ac:dyDescent="0.2">
      <c r="A650" s="2">
        <v>1</v>
      </c>
      <c r="B650" s="1" t="s">
        <v>151</v>
      </c>
      <c r="C650" s="4">
        <v>43</v>
      </c>
      <c r="D650" s="8">
        <v>5.57</v>
      </c>
      <c r="E650" s="4">
        <v>37</v>
      </c>
      <c r="F650" s="8">
        <v>11.75</v>
      </c>
      <c r="G650" s="4">
        <v>6</v>
      </c>
      <c r="H650" s="8">
        <v>1.33</v>
      </c>
      <c r="I650" s="4">
        <v>0</v>
      </c>
    </row>
    <row r="651" spans="1:9" x14ac:dyDescent="0.2">
      <c r="A651" s="2">
        <v>2</v>
      </c>
      <c r="B651" s="1" t="s">
        <v>141</v>
      </c>
      <c r="C651" s="4">
        <v>29</v>
      </c>
      <c r="D651" s="8">
        <v>3.76</v>
      </c>
      <c r="E651" s="4">
        <v>15</v>
      </c>
      <c r="F651" s="8">
        <v>4.76</v>
      </c>
      <c r="G651" s="4">
        <v>14</v>
      </c>
      <c r="H651" s="8">
        <v>3.1</v>
      </c>
      <c r="I651" s="4">
        <v>0</v>
      </c>
    </row>
    <row r="652" spans="1:9" x14ac:dyDescent="0.2">
      <c r="A652" s="2">
        <v>3</v>
      </c>
      <c r="B652" s="1" t="s">
        <v>153</v>
      </c>
      <c r="C652" s="4">
        <v>24</v>
      </c>
      <c r="D652" s="8">
        <v>3.11</v>
      </c>
      <c r="E652" s="4">
        <v>20</v>
      </c>
      <c r="F652" s="8">
        <v>6.35</v>
      </c>
      <c r="G652" s="4">
        <v>4</v>
      </c>
      <c r="H652" s="8">
        <v>0.88</v>
      </c>
      <c r="I652" s="4">
        <v>0</v>
      </c>
    </row>
    <row r="653" spans="1:9" x14ac:dyDescent="0.2">
      <c r="A653" s="2">
        <v>4</v>
      </c>
      <c r="B653" s="1" t="s">
        <v>150</v>
      </c>
      <c r="C653" s="4">
        <v>23</v>
      </c>
      <c r="D653" s="8">
        <v>2.98</v>
      </c>
      <c r="E653" s="4">
        <v>18</v>
      </c>
      <c r="F653" s="8">
        <v>5.71</v>
      </c>
      <c r="G653" s="4">
        <v>5</v>
      </c>
      <c r="H653" s="8">
        <v>1.1100000000000001</v>
      </c>
      <c r="I653" s="4">
        <v>0</v>
      </c>
    </row>
    <row r="654" spans="1:9" x14ac:dyDescent="0.2">
      <c r="A654" s="2">
        <v>5</v>
      </c>
      <c r="B654" s="1" t="s">
        <v>152</v>
      </c>
      <c r="C654" s="4">
        <v>20</v>
      </c>
      <c r="D654" s="8">
        <v>2.59</v>
      </c>
      <c r="E654" s="4">
        <v>13</v>
      </c>
      <c r="F654" s="8">
        <v>4.13</v>
      </c>
      <c r="G654" s="4">
        <v>7</v>
      </c>
      <c r="H654" s="8">
        <v>1.55</v>
      </c>
      <c r="I654" s="4">
        <v>0</v>
      </c>
    </row>
    <row r="655" spans="1:9" x14ac:dyDescent="0.2">
      <c r="A655" s="2">
        <v>6</v>
      </c>
      <c r="B655" s="1" t="s">
        <v>139</v>
      </c>
      <c r="C655" s="4">
        <v>19</v>
      </c>
      <c r="D655" s="8">
        <v>2.46</v>
      </c>
      <c r="E655" s="4">
        <v>3</v>
      </c>
      <c r="F655" s="8">
        <v>0.95</v>
      </c>
      <c r="G655" s="4">
        <v>16</v>
      </c>
      <c r="H655" s="8">
        <v>3.54</v>
      </c>
      <c r="I655" s="4">
        <v>0</v>
      </c>
    </row>
    <row r="656" spans="1:9" x14ac:dyDescent="0.2">
      <c r="A656" s="2">
        <v>7</v>
      </c>
      <c r="B656" s="1" t="s">
        <v>143</v>
      </c>
      <c r="C656" s="4">
        <v>18</v>
      </c>
      <c r="D656" s="8">
        <v>2.33</v>
      </c>
      <c r="E656" s="4">
        <v>9</v>
      </c>
      <c r="F656" s="8">
        <v>2.86</v>
      </c>
      <c r="G656" s="4">
        <v>9</v>
      </c>
      <c r="H656" s="8">
        <v>1.99</v>
      </c>
      <c r="I656" s="4">
        <v>0</v>
      </c>
    </row>
    <row r="657" spans="1:9" x14ac:dyDescent="0.2">
      <c r="A657" s="2">
        <v>8</v>
      </c>
      <c r="B657" s="1" t="s">
        <v>163</v>
      </c>
      <c r="C657" s="4">
        <v>17</v>
      </c>
      <c r="D657" s="8">
        <v>2.2000000000000002</v>
      </c>
      <c r="E657" s="4">
        <v>4</v>
      </c>
      <c r="F657" s="8">
        <v>1.27</v>
      </c>
      <c r="G657" s="4">
        <v>13</v>
      </c>
      <c r="H657" s="8">
        <v>2.88</v>
      </c>
      <c r="I657" s="4">
        <v>0</v>
      </c>
    </row>
    <row r="658" spans="1:9" x14ac:dyDescent="0.2">
      <c r="A658" s="2">
        <v>8</v>
      </c>
      <c r="B658" s="1" t="s">
        <v>147</v>
      </c>
      <c r="C658" s="4">
        <v>17</v>
      </c>
      <c r="D658" s="8">
        <v>2.2000000000000002</v>
      </c>
      <c r="E658" s="4">
        <v>12</v>
      </c>
      <c r="F658" s="8">
        <v>3.81</v>
      </c>
      <c r="G658" s="4">
        <v>5</v>
      </c>
      <c r="H658" s="8">
        <v>1.1100000000000001</v>
      </c>
      <c r="I658" s="4">
        <v>0</v>
      </c>
    </row>
    <row r="659" spans="1:9" x14ac:dyDescent="0.2">
      <c r="A659" s="2">
        <v>8</v>
      </c>
      <c r="B659" s="1" t="s">
        <v>161</v>
      </c>
      <c r="C659" s="4">
        <v>17</v>
      </c>
      <c r="D659" s="8">
        <v>2.2000000000000002</v>
      </c>
      <c r="E659" s="4">
        <v>7</v>
      </c>
      <c r="F659" s="8">
        <v>2.2200000000000002</v>
      </c>
      <c r="G659" s="4">
        <v>10</v>
      </c>
      <c r="H659" s="8">
        <v>2.21</v>
      </c>
      <c r="I659" s="4">
        <v>0</v>
      </c>
    </row>
    <row r="660" spans="1:9" x14ac:dyDescent="0.2">
      <c r="A660" s="2">
        <v>11</v>
      </c>
      <c r="B660" s="1" t="s">
        <v>145</v>
      </c>
      <c r="C660" s="4">
        <v>16</v>
      </c>
      <c r="D660" s="8">
        <v>2.0699999999999998</v>
      </c>
      <c r="E660" s="4">
        <v>3</v>
      </c>
      <c r="F660" s="8">
        <v>0.95</v>
      </c>
      <c r="G660" s="4">
        <v>13</v>
      </c>
      <c r="H660" s="8">
        <v>2.88</v>
      </c>
      <c r="I660" s="4">
        <v>0</v>
      </c>
    </row>
    <row r="661" spans="1:9" x14ac:dyDescent="0.2">
      <c r="A661" s="2">
        <v>11</v>
      </c>
      <c r="B661" s="1" t="s">
        <v>154</v>
      </c>
      <c r="C661" s="4">
        <v>16</v>
      </c>
      <c r="D661" s="8">
        <v>2.0699999999999998</v>
      </c>
      <c r="E661" s="4">
        <v>12</v>
      </c>
      <c r="F661" s="8">
        <v>3.81</v>
      </c>
      <c r="G661" s="4">
        <v>4</v>
      </c>
      <c r="H661" s="8">
        <v>0.88</v>
      </c>
      <c r="I661" s="4">
        <v>0</v>
      </c>
    </row>
    <row r="662" spans="1:9" x14ac:dyDescent="0.2">
      <c r="A662" s="2">
        <v>13</v>
      </c>
      <c r="B662" s="1" t="s">
        <v>136</v>
      </c>
      <c r="C662" s="4">
        <v>15</v>
      </c>
      <c r="D662" s="8">
        <v>1.94</v>
      </c>
      <c r="E662" s="4">
        <v>1</v>
      </c>
      <c r="F662" s="8">
        <v>0.32</v>
      </c>
      <c r="G662" s="4">
        <v>14</v>
      </c>
      <c r="H662" s="8">
        <v>3.1</v>
      </c>
      <c r="I662" s="4">
        <v>0</v>
      </c>
    </row>
    <row r="663" spans="1:9" x14ac:dyDescent="0.2">
      <c r="A663" s="2">
        <v>13</v>
      </c>
      <c r="B663" s="1" t="s">
        <v>142</v>
      </c>
      <c r="C663" s="4">
        <v>15</v>
      </c>
      <c r="D663" s="8">
        <v>1.94</v>
      </c>
      <c r="E663" s="4">
        <v>4</v>
      </c>
      <c r="F663" s="8">
        <v>1.27</v>
      </c>
      <c r="G663" s="4">
        <v>11</v>
      </c>
      <c r="H663" s="8">
        <v>2.4300000000000002</v>
      </c>
      <c r="I663" s="4">
        <v>0</v>
      </c>
    </row>
    <row r="664" spans="1:9" x14ac:dyDescent="0.2">
      <c r="A664" s="2">
        <v>15</v>
      </c>
      <c r="B664" s="1" t="s">
        <v>135</v>
      </c>
      <c r="C664" s="4">
        <v>13</v>
      </c>
      <c r="D664" s="8">
        <v>1.68</v>
      </c>
      <c r="E664" s="4">
        <v>1</v>
      </c>
      <c r="F664" s="8">
        <v>0.32</v>
      </c>
      <c r="G664" s="4">
        <v>12</v>
      </c>
      <c r="H664" s="8">
        <v>2.65</v>
      </c>
      <c r="I664" s="4">
        <v>0</v>
      </c>
    </row>
    <row r="665" spans="1:9" x14ac:dyDescent="0.2">
      <c r="A665" s="2">
        <v>15</v>
      </c>
      <c r="B665" s="1" t="s">
        <v>138</v>
      </c>
      <c r="C665" s="4">
        <v>13</v>
      </c>
      <c r="D665" s="8">
        <v>1.68</v>
      </c>
      <c r="E665" s="4">
        <v>2</v>
      </c>
      <c r="F665" s="8">
        <v>0.63</v>
      </c>
      <c r="G665" s="4">
        <v>11</v>
      </c>
      <c r="H665" s="8">
        <v>2.4300000000000002</v>
      </c>
      <c r="I665" s="4">
        <v>0</v>
      </c>
    </row>
    <row r="666" spans="1:9" x14ac:dyDescent="0.2">
      <c r="A666" s="2">
        <v>15</v>
      </c>
      <c r="B666" s="1" t="s">
        <v>216</v>
      </c>
      <c r="C666" s="4">
        <v>13</v>
      </c>
      <c r="D666" s="8">
        <v>1.68</v>
      </c>
      <c r="E666" s="4">
        <v>0</v>
      </c>
      <c r="F666" s="8">
        <v>0</v>
      </c>
      <c r="G666" s="4">
        <v>13</v>
      </c>
      <c r="H666" s="8">
        <v>2.88</v>
      </c>
      <c r="I666" s="4">
        <v>0</v>
      </c>
    </row>
    <row r="667" spans="1:9" x14ac:dyDescent="0.2">
      <c r="A667" s="2">
        <v>18</v>
      </c>
      <c r="B667" s="1" t="s">
        <v>200</v>
      </c>
      <c r="C667" s="4">
        <v>12</v>
      </c>
      <c r="D667" s="8">
        <v>1.55</v>
      </c>
      <c r="E667" s="4">
        <v>3</v>
      </c>
      <c r="F667" s="8">
        <v>0.95</v>
      </c>
      <c r="G667" s="4">
        <v>9</v>
      </c>
      <c r="H667" s="8">
        <v>1.99</v>
      </c>
      <c r="I667" s="4">
        <v>0</v>
      </c>
    </row>
    <row r="668" spans="1:9" x14ac:dyDescent="0.2">
      <c r="A668" s="2">
        <v>18</v>
      </c>
      <c r="B668" s="1" t="s">
        <v>219</v>
      </c>
      <c r="C668" s="4">
        <v>12</v>
      </c>
      <c r="D668" s="8">
        <v>1.55</v>
      </c>
      <c r="E668" s="4">
        <v>1</v>
      </c>
      <c r="F668" s="8">
        <v>0.32</v>
      </c>
      <c r="G668" s="4">
        <v>11</v>
      </c>
      <c r="H668" s="8">
        <v>2.4300000000000002</v>
      </c>
      <c r="I668" s="4">
        <v>0</v>
      </c>
    </row>
    <row r="669" spans="1:9" x14ac:dyDescent="0.2">
      <c r="A669" s="2">
        <v>18</v>
      </c>
      <c r="B669" s="1" t="s">
        <v>140</v>
      </c>
      <c r="C669" s="4">
        <v>12</v>
      </c>
      <c r="D669" s="8">
        <v>1.55</v>
      </c>
      <c r="E669" s="4">
        <v>9</v>
      </c>
      <c r="F669" s="8">
        <v>2.86</v>
      </c>
      <c r="G669" s="4">
        <v>3</v>
      </c>
      <c r="H669" s="8">
        <v>0.66</v>
      </c>
      <c r="I669" s="4">
        <v>0</v>
      </c>
    </row>
    <row r="670" spans="1:9" x14ac:dyDescent="0.2">
      <c r="A670" s="2">
        <v>18</v>
      </c>
      <c r="B670" s="1" t="s">
        <v>155</v>
      </c>
      <c r="C670" s="4">
        <v>12</v>
      </c>
      <c r="D670" s="8">
        <v>1.55</v>
      </c>
      <c r="E670" s="4">
        <v>3</v>
      </c>
      <c r="F670" s="8">
        <v>0.95</v>
      </c>
      <c r="G670" s="4">
        <v>9</v>
      </c>
      <c r="H670" s="8">
        <v>1.99</v>
      </c>
      <c r="I670" s="4">
        <v>0</v>
      </c>
    </row>
    <row r="671" spans="1:9" x14ac:dyDescent="0.2">
      <c r="A671" s="1"/>
      <c r="C671" s="4"/>
      <c r="D671" s="8"/>
      <c r="E671" s="4"/>
      <c r="F671" s="8"/>
      <c r="G671" s="4"/>
      <c r="H671" s="8"/>
      <c r="I671" s="4"/>
    </row>
    <row r="672" spans="1:9" x14ac:dyDescent="0.2">
      <c r="A672" s="1" t="s">
        <v>27</v>
      </c>
      <c r="C672" s="4"/>
      <c r="D672" s="8"/>
      <c r="E672" s="4"/>
      <c r="F672" s="8"/>
      <c r="G672" s="4"/>
      <c r="H672" s="8"/>
      <c r="I672" s="4"/>
    </row>
    <row r="673" spans="1:9" x14ac:dyDescent="0.2">
      <c r="A673" s="2">
        <v>1</v>
      </c>
      <c r="B673" s="1" t="s">
        <v>147</v>
      </c>
      <c r="C673" s="4">
        <v>9</v>
      </c>
      <c r="D673" s="8">
        <v>5.52</v>
      </c>
      <c r="E673" s="4">
        <v>5</v>
      </c>
      <c r="F673" s="8">
        <v>5.43</v>
      </c>
      <c r="G673" s="4">
        <v>4</v>
      </c>
      <c r="H673" s="8">
        <v>6.35</v>
      </c>
      <c r="I673" s="4">
        <v>0</v>
      </c>
    </row>
    <row r="674" spans="1:9" x14ac:dyDescent="0.2">
      <c r="A674" s="2">
        <v>2</v>
      </c>
      <c r="B674" s="1" t="s">
        <v>166</v>
      </c>
      <c r="C674" s="4">
        <v>8</v>
      </c>
      <c r="D674" s="8">
        <v>4.91</v>
      </c>
      <c r="E674" s="4">
        <v>5</v>
      </c>
      <c r="F674" s="8">
        <v>5.43</v>
      </c>
      <c r="G674" s="4">
        <v>3</v>
      </c>
      <c r="H674" s="8">
        <v>4.76</v>
      </c>
      <c r="I674" s="4">
        <v>0</v>
      </c>
    </row>
    <row r="675" spans="1:9" x14ac:dyDescent="0.2">
      <c r="A675" s="2">
        <v>2</v>
      </c>
      <c r="B675" s="1" t="s">
        <v>143</v>
      </c>
      <c r="C675" s="4">
        <v>8</v>
      </c>
      <c r="D675" s="8">
        <v>4.91</v>
      </c>
      <c r="E675" s="4">
        <v>7</v>
      </c>
      <c r="F675" s="8">
        <v>7.61</v>
      </c>
      <c r="G675" s="4">
        <v>1</v>
      </c>
      <c r="H675" s="8">
        <v>1.59</v>
      </c>
      <c r="I675" s="4">
        <v>0</v>
      </c>
    </row>
    <row r="676" spans="1:9" x14ac:dyDescent="0.2">
      <c r="A676" s="2">
        <v>2</v>
      </c>
      <c r="B676" s="1" t="s">
        <v>181</v>
      </c>
      <c r="C676" s="4">
        <v>8</v>
      </c>
      <c r="D676" s="8">
        <v>4.91</v>
      </c>
      <c r="E676" s="4">
        <v>4</v>
      </c>
      <c r="F676" s="8">
        <v>4.3499999999999996</v>
      </c>
      <c r="G676" s="4">
        <v>4</v>
      </c>
      <c r="H676" s="8">
        <v>6.35</v>
      </c>
      <c r="I676" s="4">
        <v>0</v>
      </c>
    </row>
    <row r="677" spans="1:9" x14ac:dyDescent="0.2">
      <c r="A677" s="2">
        <v>2</v>
      </c>
      <c r="B677" s="1" t="s">
        <v>170</v>
      </c>
      <c r="C677" s="4">
        <v>8</v>
      </c>
      <c r="D677" s="8">
        <v>4.91</v>
      </c>
      <c r="E677" s="4">
        <v>8</v>
      </c>
      <c r="F677" s="8">
        <v>8.6999999999999993</v>
      </c>
      <c r="G677" s="4">
        <v>0</v>
      </c>
      <c r="H677" s="8">
        <v>0</v>
      </c>
      <c r="I677" s="4">
        <v>0</v>
      </c>
    </row>
    <row r="678" spans="1:9" x14ac:dyDescent="0.2">
      <c r="A678" s="2">
        <v>6</v>
      </c>
      <c r="B678" s="1" t="s">
        <v>135</v>
      </c>
      <c r="C678" s="4">
        <v>7</v>
      </c>
      <c r="D678" s="8">
        <v>4.29</v>
      </c>
      <c r="E678" s="4">
        <v>2</v>
      </c>
      <c r="F678" s="8">
        <v>2.17</v>
      </c>
      <c r="G678" s="4">
        <v>5</v>
      </c>
      <c r="H678" s="8">
        <v>7.94</v>
      </c>
      <c r="I678" s="4">
        <v>0</v>
      </c>
    </row>
    <row r="679" spans="1:9" x14ac:dyDescent="0.2">
      <c r="A679" s="2">
        <v>7</v>
      </c>
      <c r="B679" s="1" t="s">
        <v>140</v>
      </c>
      <c r="C679" s="4">
        <v>6</v>
      </c>
      <c r="D679" s="8">
        <v>3.68</v>
      </c>
      <c r="E679" s="4">
        <v>3</v>
      </c>
      <c r="F679" s="8">
        <v>3.26</v>
      </c>
      <c r="G679" s="4">
        <v>3</v>
      </c>
      <c r="H679" s="8">
        <v>4.76</v>
      </c>
      <c r="I679" s="4">
        <v>0</v>
      </c>
    </row>
    <row r="680" spans="1:9" x14ac:dyDescent="0.2">
      <c r="A680" s="2">
        <v>7</v>
      </c>
      <c r="B680" s="1" t="s">
        <v>221</v>
      </c>
      <c r="C680" s="4">
        <v>6</v>
      </c>
      <c r="D680" s="8">
        <v>3.68</v>
      </c>
      <c r="E680" s="4">
        <v>2</v>
      </c>
      <c r="F680" s="8">
        <v>2.17</v>
      </c>
      <c r="G680" s="4">
        <v>4</v>
      </c>
      <c r="H680" s="8">
        <v>6.35</v>
      </c>
      <c r="I680" s="4">
        <v>0</v>
      </c>
    </row>
    <row r="681" spans="1:9" x14ac:dyDescent="0.2">
      <c r="A681" s="2">
        <v>7</v>
      </c>
      <c r="B681" s="1" t="s">
        <v>150</v>
      </c>
      <c r="C681" s="4">
        <v>6</v>
      </c>
      <c r="D681" s="8">
        <v>3.68</v>
      </c>
      <c r="E681" s="4">
        <v>6</v>
      </c>
      <c r="F681" s="8">
        <v>6.52</v>
      </c>
      <c r="G681" s="4">
        <v>0</v>
      </c>
      <c r="H681" s="8">
        <v>0</v>
      </c>
      <c r="I681" s="4">
        <v>0</v>
      </c>
    </row>
    <row r="682" spans="1:9" x14ac:dyDescent="0.2">
      <c r="A682" s="2">
        <v>10</v>
      </c>
      <c r="B682" s="1" t="s">
        <v>209</v>
      </c>
      <c r="C682" s="4">
        <v>5</v>
      </c>
      <c r="D682" s="8">
        <v>3.07</v>
      </c>
      <c r="E682" s="4">
        <v>2</v>
      </c>
      <c r="F682" s="8">
        <v>2.17</v>
      </c>
      <c r="G682" s="4">
        <v>3</v>
      </c>
      <c r="H682" s="8">
        <v>4.76</v>
      </c>
      <c r="I682" s="4">
        <v>0</v>
      </c>
    </row>
    <row r="683" spans="1:9" x14ac:dyDescent="0.2">
      <c r="A683" s="2">
        <v>10</v>
      </c>
      <c r="B683" s="1" t="s">
        <v>159</v>
      </c>
      <c r="C683" s="4">
        <v>5</v>
      </c>
      <c r="D683" s="8">
        <v>3.07</v>
      </c>
      <c r="E683" s="4">
        <v>3</v>
      </c>
      <c r="F683" s="8">
        <v>3.26</v>
      </c>
      <c r="G683" s="4">
        <v>2</v>
      </c>
      <c r="H683" s="8">
        <v>3.17</v>
      </c>
      <c r="I683" s="4">
        <v>0</v>
      </c>
    </row>
    <row r="684" spans="1:9" x14ac:dyDescent="0.2">
      <c r="A684" s="2">
        <v>12</v>
      </c>
      <c r="B684" s="1" t="s">
        <v>220</v>
      </c>
      <c r="C684" s="4">
        <v>4</v>
      </c>
      <c r="D684" s="8">
        <v>2.4500000000000002</v>
      </c>
      <c r="E684" s="4">
        <v>4</v>
      </c>
      <c r="F684" s="8">
        <v>4.3499999999999996</v>
      </c>
      <c r="G684" s="4">
        <v>0</v>
      </c>
      <c r="H684" s="8">
        <v>0</v>
      </c>
      <c r="I684" s="4">
        <v>0</v>
      </c>
    </row>
    <row r="685" spans="1:9" x14ac:dyDescent="0.2">
      <c r="A685" s="2">
        <v>12</v>
      </c>
      <c r="B685" s="1" t="s">
        <v>186</v>
      </c>
      <c r="C685" s="4">
        <v>4</v>
      </c>
      <c r="D685" s="8">
        <v>2.4500000000000002</v>
      </c>
      <c r="E685" s="4">
        <v>2</v>
      </c>
      <c r="F685" s="8">
        <v>2.17</v>
      </c>
      <c r="G685" s="4">
        <v>2</v>
      </c>
      <c r="H685" s="8">
        <v>3.17</v>
      </c>
      <c r="I685" s="4">
        <v>0</v>
      </c>
    </row>
    <row r="686" spans="1:9" x14ac:dyDescent="0.2">
      <c r="A686" s="2">
        <v>14</v>
      </c>
      <c r="B686" s="1" t="s">
        <v>136</v>
      </c>
      <c r="C686" s="4">
        <v>3</v>
      </c>
      <c r="D686" s="8">
        <v>1.84</v>
      </c>
      <c r="E686" s="4">
        <v>1</v>
      </c>
      <c r="F686" s="8">
        <v>1.0900000000000001</v>
      </c>
      <c r="G686" s="4">
        <v>2</v>
      </c>
      <c r="H686" s="8">
        <v>3.17</v>
      </c>
      <c r="I686" s="4">
        <v>0</v>
      </c>
    </row>
    <row r="687" spans="1:9" x14ac:dyDescent="0.2">
      <c r="A687" s="2">
        <v>14</v>
      </c>
      <c r="B687" s="1" t="s">
        <v>137</v>
      </c>
      <c r="C687" s="4">
        <v>3</v>
      </c>
      <c r="D687" s="8">
        <v>1.84</v>
      </c>
      <c r="E687" s="4">
        <v>3</v>
      </c>
      <c r="F687" s="8">
        <v>3.26</v>
      </c>
      <c r="G687" s="4">
        <v>0</v>
      </c>
      <c r="H687" s="8">
        <v>0</v>
      </c>
      <c r="I687" s="4">
        <v>0</v>
      </c>
    </row>
    <row r="688" spans="1:9" x14ac:dyDescent="0.2">
      <c r="A688" s="2">
        <v>14</v>
      </c>
      <c r="B688" s="1" t="s">
        <v>174</v>
      </c>
      <c r="C688" s="4">
        <v>3</v>
      </c>
      <c r="D688" s="8">
        <v>1.84</v>
      </c>
      <c r="E688" s="4">
        <v>2</v>
      </c>
      <c r="F688" s="8">
        <v>2.17</v>
      </c>
      <c r="G688" s="4">
        <v>1</v>
      </c>
      <c r="H688" s="8">
        <v>1.59</v>
      </c>
      <c r="I688" s="4">
        <v>0</v>
      </c>
    </row>
    <row r="689" spans="1:9" x14ac:dyDescent="0.2">
      <c r="A689" s="2">
        <v>14</v>
      </c>
      <c r="B689" s="1" t="s">
        <v>167</v>
      </c>
      <c r="C689" s="4">
        <v>3</v>
      </c>
      <c r="D689" s="8">
        <v>1.84</v>
      </c>
      <c r="E689" s="4">
        <v>2</v>
      </c>
      <c r="F689" s="8">
        <v>2.17</v>
      </c>
      <c r="G689" s="4">
        <v>1</v>
      </c>
      <c r="H689" s="8">
        <v>1.59</v>
      </c>
      <c r="I689" s="4">
        <v>0</v>
      </c>
    </row>
    <row r="690" spans="1:9" x14ac:dyDescent="0.2">
      <c r="A690" s="2">
        <v>14</v>
      </c>
      <c r="B690" s="1" t="s">
        <v>145</v>
      </c>
      <c r="C690" s="4">
        <v>3</v>
      </c>
      <c r="D690" s="8">
        <v>1.84</v>
      </c>
      <c r="E690" s="4">
        <v>1</v>
      </c>
      <c r="F690" s="8">
        <v>1.0900000000000001</v>
      </c>
      <c r="G690" s="4">
        <v>1</v>
      </c>
      <c r="H690" s="8">
        <v>1.59</v>
      </c>
      <c r="I690" s="4">
        <v>0</v>
      </c>
    </row>
    <row r="691" spans="1:9" x14ac:dyDescent="0.2">
      <c r="A691" s="2">
        <v>14</v>
      </c>
      <c r="B691" s="1" t="s">
        <v>154</v>
      </c>
      <c r="C691" s="4">
        <v>3</v>
      </c>
      <c r="D691" s="8">
        <v>1.84</v>
      </c>
      <c r="E691" s="4">
        <v>3</v>
      </c>
      <c r="F691" s="8">
        <v>3.26</v>
      </c>
      <c r="G691" s="4">
        <v>0</v>
      </c>
      <c r="H691" s="8">
        <v>0</v>
      </c>
      <c r="I691" s="4">
        <v>0</v>
      </c>
    </row>
    <row r="692" spans="1:9" x14ac:dyDescent="0.2">
      <c r="A692" s="2">
        <v>20</v>
      </c>
      <c r="B692" s="1" t="s">
        <v>184</v>
      </c>
      <c r="C692" s="4">
        <v>2</v>
      </c>
      <c r="D692" s="8">
        <v>1.23</v>
      </c>
      <c r="E692" s="4">
        <v>2</v>
      </c>
      <c r="F692" s="8">
        <v>2.17</v>
      </c>
      <c r="G692" s="4">
        <v>0</v>
      </c>
      <c r="H692" s="8">
        <v>0</v>
      </c>
      <c r="I692" s="4">
        <v>0</v>
      </c>
    </row>
    <row r="693" spans="1:9" x14ac:dyDescent="0.2">
      <c r="A693" s="2">
        <v>20</v>
      </c>
      <c r="B693" s="1" t="s">
        <v>138</v>
      </c>
      <c r="C693" s="4">
        <v>2</v>
      </c>
      <c r="D693" s="8">
        <v>1.23</v>
      </c>
      <c r="E693" s="4">
        <v>2</v>
      </c>
      <c r="F693" s="8">
        <v>2.17</v>
      </c>
      <c r="G693" s="4">
        <v>0</v>
      </c>
      <c r="H693" s="8">
        <v>0</v>
      </c>
      <c r="I693" s="4">
        <v>0</v>
      </c>
    </row>
    <row r="694" spans="1:9" x14ac:dyDescent="0.2">
      <c r="A694" s="2">
        <v>20</v>
      </c>
      <c r="B694" s="1" t="s">
        <v>163</v>
      </c>
      <c r="C694" s="4">
        <v>2</v>
      </c>
      <c r="D694" s="8">
        <v>1.23</v>
      </c>
      <c r="E694" s="4">
        <v>1</v>
      </c>
      <c r="F694" s="8">
        <v>1.0900000000000001</v>
      </c>
      <c r="G694" s="4">
        <v>1</v>
      </c>
      <c r="H694" s="8">
        <v>1.59</v>
      </c>
      <c r="I694" s="4">
        <v>0</v>
      </c>
    </row>
    <row r="695" spans="1:9" x14ac:dyDescent="0.2">
      <c r="A695" s="2">
        <v>20</v>
      </c>
      <c r="B695" s="1" t="s">
        <v>165</v>
      </c>
      <c r="C695" s="4">
        <v>2</v>
      </c>
      <c r="D695" s="8">
        <v>1.23</v>
      </c>
      <c r="E695" s="4">
        <v>1</v>
      </c>
      <c r="F695" s="8">
        <v>1.0900000000000001</v>
      </c>
      <c r="G695" s="4">
        <v>1</v>
      </c>
      <c r="H695" s="8">
        <v>1.59</v>
      </c>
      <c r="I695" s="4">
        <v>0</v>
      </c>
    </row>
    <row r="696" spans="1:9" x14ac:dyDescent="0.2">
      <c r="A696" s="2">
        <v>20</v>
      </c>
      <c r="B696" s="1" t="s">
        <v>139</v>
      </c>
      <c r="C696" s="4">
        <v>2</v>
      </c>
      <c r="D696" s="8">
        <v>1.23</v>
      </c>
      <c r="E696" s="4">
        <v>1</v>
      </c>
      <c r="F696" s="8">
        <v>1.0900000000000001</v>
      </c>
      <c r="G696" s="4">
        <v>1</v>
      </c>
      <c r="H696" s="8">
        <v>1.59</v>
      </c>
      <c r="I696" s="4">
        <v>0</v>
      </c>
    </row>
    <row r="697" spans="1:9" x14ac:dyDescent="0.2">
      <c r="A697" s="2">
        <v>20</v>
      </c>
      <c r="B697" s="1" t="s">
        <v>203</v>
      </c>
      <c r="C697" s="4">
        <v>2</v>
      </c>
      <c r="D697" s="8">
        <v>1.23</v>
      </c>
      <c r="E697" s="4">
        <v>1</v>
      </c>
      <c r="F697" s="8">
        <v>1.0900000000000001</v>
      </c>
      <c r="G697" s="4">
        <v>1</v>
      </c>
      <c r="H697" s="8">
        <v>1.59</v>
      </c>
      <c r="I697" s="4">
        <v>0</v>
      </c>
    </row>
    <row r="698" spans="1:9" x14ac:dyDescent="0.2">
      <c r="A698" s="2">
        <v>20</v>
      </c>
      <c r="B698" s="1" t="s">
        <v>148</v>
      </c>
      <c r="C698" s="4">
        <v>2</v>
      </c>
      <c r="D698" s="8">
        <v>1.23</v>
      </c>
      <c r="E698" s="4">
        <v>2</v>
      </c>
      <c r="F698" s="8">
        <v>2.17</v>
      </c>
      <c r="G698" s="4">
        <v>0</v>
      </c>
      <c r="H698" s="8">
        <v>0</v>
      </c>
      <c r="I698" s="4">
        <v>0</v>
      </c>
    </row>
    <row r="699" spans="1:9" x14ac:dyDescent="0.2">
      <c r="A699" s="2">
        <v>20</v>
      </c>
      <c r="B699" s="1" t="s">
        <v>151</v>
      </c>
      <c r="C699" s="4">
        <v>2</v>
      </c>
      <c r="D699" s="8">
        <v>1.23</v>
      </c>
      <c r="E699" s="4">
        <v>2</v>
      </c>
      <c r="F699" s="8">
        <v>2.17</v>
      </c>
      <c r="G699" s="4">
        <v>0</v>
      </c>
      <c r="H699" s="8">
        <v>0</v>
      </c>
      <c r="I699" s="4">
        <v>0</v>
      </c>
    </row>
    <row r="700" spans="1:9" x14ac:dyDescent="0.2">
      <c r="A700" s="2">
        <v>20</v>
      </c>
      <c r="B700" s="1" t="s">
        <v>211</v>
      </c>
      <c r="C700" s="4">
        <v>2</v>
      </c>
      <c r="D700" s="8">
        <v>1.23</v>
      </c>
      <c r="E700" s="4">
        <v>0</v>
      </c>
      <c r="F700" s="8">
        <v>0</v>
      </c>
      <c r="G700" s="4">
        <v>2</v>
      </c>
      <c r="H700" s="8">
        <v>3.17</v>
      </c>
      <c r="I700" s="4">
        <v>0</v>
      </c>
    </row>
    <row r="701" spans="1:9" x14ac:dyDescent="0.2">
      <c r="A701" s="1"/>
      <c r="C701" s="4"/>
      <c r="D701" s="8"/>
      <c r="E701" s="4"/>
      <c r="F701" s="8"/>
      <c r="G701" s="4"/>
      <c r="H701" s="8"/>
      <c r="I701" s="4"/>
    </row>
    <row r="702" spans="1:9" x14ac:dyDescent="0.2">
      <c r="A702" s="1" t="s">
        <v>28</v>
      </c>
      <c r="C702" s="4"/>
      <c r="D702" s="8"/>
      <c r="E702" s="4"/>
      <c r="F702" s="8"/>
      <c r="G702" s="4"/>
      <c r="H702" s="8"/>
      <c r="I702" s="4"/>
    </row>
    <row r="703" spans="1:9" x14ac:dyDescent="0.2">
      <c r="A703" s="2">
        <v>1</v>
      </c>
      <c r="B703" s="1" t="s">
        <v>181</v>
      </c>
      <c r="C703" s="4">
        <v>16</v>
      </c>
      <c r="D703" s="8">
        <v>5.23</v>
      </c>
      <c r="E703" s="4">
        <v>8</v>
      </c>
      <c r="F703" s="8">
        <v>4.2300000000000004</v>
      </c>
      <c r="G703" s="4">
        <v>8</v>
      </c>
      <c r="H703" s="8">
        <v>7.41</v>
      </c>
      <c r="I703" s="4">
        <v>0</v>
      </c>
    </row>
    <row r="704" spans="1:9" x14ac:dyDescent="0.2">
      <c r="A704" s="2">
        <v>2</v>
      </c>
      <c r="B704" s="1" t="s">
        <v>145</v>
      </c>
      <c r="C704" s="4">
        <v>13</v>
      </c>
      <c r="D704" s="8">
        <v>4.25</v>
      </c>
      <c r="E704" s="4">
        <v>8</v>
      </c>
      <c r="F704" s="8">
        <v>4.2300000000000004</v>
      </c>
      <c r="G704" s="4">
        <v>5</v>
      </c>
      <c r="H704" s="8">
        <v>4.63</v>
      </c>
      <c r="I704" s="4">
        <v>0</v>
      </c>
    </row>
    <row r="705" spans="1:9" x14ac:dyDescent="0.2">
      <c r="A705" s="2">
        <v>2</v>
      </c>
      <c r="B705" s="1" t="s">
        <v>151</v>
      </c>
      <c r="C705" s="4">
        <v>13</v>
      </c>
      <c r="D705" s="8">
        <v>4.25</v>
      </c>
      <c r="E705" s="4">
        <v>13</v>
      </c>
      <c r="F705" s="8">
        <v>6.88</v>
      </c>
      <c r="G705" s="4">
        <v>0</v>
      </c>
      <c r="H705" s="8">
        <v>0</v>
      </c>
      <c r="I705" s="4">
        <v>0</v>
      </c>
    </row>
    <row r="706" spans="1:9" x14ac:dyDescent="0.2">
      <c r="A706" s="2">
        <v>4</v>
      </c>
      <c r="B706" s="1" t="s">
        <v>147</v>
      </c>
      <c r="C706" s="4">
        <v>12</v>
      </c>
      <c r="D706" s="8">
        <v>3.92</v>
      </c>
      <c r="E706" s="4">
        <v>10</v>
      </c>
      <c r="F706" s="8">
        <v>5.29</v>
      </c>
      <c r="G706" s="4">
        <v>2</v>
      </c>
      <c r="H706" s="8">
        <v>1.85</v>
      </c>
      <c r="I706" s="4">
        <v>0</v>
      </c>
    </row>
    <row r="707" spans="1:9" x14ac:dyDescent="0.2">
      <c r="A707" s="2">
        <v>5</v>
      </c>
      <c r="B707" s="1" t="s">
        <v>137</v>
      </c>
      <c r="C707" s="4">
        <v>10</v>
      </c>
      <c r="D707" s="8">
        <v>3.27</v>
      </c>
      <c r="E707" s="4">
        <v>7</v>
      </c>
      <c r="F707" s="8">
        <v>3.7</v>
      </c>
      <c r="G707" s="4">
        <v>3</v>
      </c>
      <c r="H707" s="8">
        <v>2.78</v>
      </c>
      <c r="I707" s="4">
        <v>0</v>
      </c>
    </row>
    <row r="708" spans="1:9" x14ac:dyDescent="0.2">
      <c r="A708" s="2">
        <v>6</v>
      </c>
      <c r="B708" s="1" t="s">
        <v>148</v>
      </c>
      <c r="C708" s="4">
        <v>9</v>
      </c>
      <c r="D708" s="8">
        <v>2.94</v>
      </c>
      <c r="E708" s="4">
        <v>9</v>
      </c>
      <c r="F708" s="8">
        <v>4.76</v>
      </c>
      <c r="G708" s="4">
        <v>0</v>
      </c>
      <c r="H708" s="8">
        <v>0</v>
      </c>
      <c r="I708" s="4">
        <v>0</v>
      </c>
    </row>
    <row r="709" spans="1:9" x14ac:dyDescent="0.2">
      <c r="A709" s="2">
        <v>6</v>
      </c>
      <c r="B709" s="1" t="s">
        <v>159</v>
      </c>
      <c r="C709" s="4">
        <v>9</v>
      </c>
      <c r="D709" s="8">
        <v>2.94</v>
      </c>
      <c r="E709" s="4">
        <v>6</v>
      </c>
      <c r="F709" s="8">
        <v>3.17</v>
      </c>
      <c r="G709" s="4">
        <v>3</v>
      </c>
      <c r="H709" s="8">
        <v>2.78</v>
      </c>
      <c r="I709" s="4">
        <v>0</v>
      </c>
    </row>
    <row r="710" spans="1:9" x14ac:dyDescent="0.2">
      <c r="A710" s="2">
        <v>8</v>
      </c>
      <c r="B710" s="1" t="s">
        <v>150</v>
      </c>
      <c r="C710" s="4">
        <v>8</v>
      </c>
      <c r="D710" s="8">
        <v>2.61</v>
      </c>
      <c r="E710" s="4">
        <v>8</v>
      </c>
      <c r="F710" s="8">
        <v>4.2300000000000004</v>
      </c>
      <c r="G710" s="4">
        <v>0</v>
      </c>
      <c r="H710" s="8">
        <v>0</v>
      </c>
      <c r="I710" s="4">
        <v>0</v>
      </c>
    </row>
    <row r="711" spans="1:9" x14ac:dyDescent="0.2">
      <c r="A711" s="2">
        <v>9</v>
      </c>
      <c r="B711" s="1" t="s">
        <v>135</v>
      </c>
      <c r="C711" s="4">
        <v>7</v>
      </c>
      <c r="D711" s="8">
        <v>2.29</v>
      </c>
      <c r="E711" s="4">
        <v>0</v>
      </c>
      <c r="F711" s="8">
        <v>0</v>
      </c>
      <c r="G711" s="4">
        <v>7</v>
      </c>
      <c r="H711" s="8">
        <v>6.48</v>
      </c>
      <c r="I711" s="4">
        <v>0</v>
      </c>
    </row>
    <row r="712" spans="1:9" x14ac:dyDescent="0.2">
      <c r="A712" s="2">
        <v>9</v>
      </c>
      <c r="B712" s="1" t="s">
        <v>136</v>
      </c>
      <c r="C712" s="4">
        <v>7</v>
      </c>
      <c r="D712" s="8">
        <v>2.29</v>
      </c>
      <c r="E712" s="4">
        <v>3</v>
      </c>
      <c r="F712" s="8">
        <v>1.59</v>
      </c>
      <c r="G712" s="4">
        <v>4</v>
      </c>
      <c r="H712" s="8">
        <v>3.7</v>
      </c>
      <c r="I712" s="4">
        <v>0</v>
      </c>
    </row>
    <row r="713" spans="1:9" x14ac:dyDescent="0.2">
      <c r="A713" s="2">
        <v>9</v>
      </c>
      <c r="B713" s="1" t="s">
        <v>186</v>
      </c>
      <c r="C713" s="4">
        <v>7</v>
      </c>
      <c r="D713" s="8">
        <v>2.29</v>
      </c>
      <c r="E713" s="4">
        <v>3</v>
      </c>
      <c r="F713" s="8">
        <v>1.59</v>
      </c>
      <c r="G713" s="4">
        <v>4</v>
      </c>
      <c r="H713" s="8">
        <v>3.7</v>
      </c>
      <c r="I713" s="4">
        <v>0</v>
      </c>
    </row>
    <row r="714" spans="1:9" x14ac:dyDescent="0.2">
      <c r="A714" s="2">
        <v>9</v>
      </c>
      <c r="B714" s="1" t="s">
        <v>166</v>
      </c>
      <c r="C714" s="4">
        <v>7</v>
      </c>
      <c r="D714" s="8">
        <v>2.29</v>
      </c>
      <c r="E714" s="4">
        <v>6</v>
      </c>
      <c r="F714" s="8">
        <v>3.17</v>
      </c>
      <c r="G714" s="4">
        <v>1</v>
      </c>
      <c r="H714" s="8">
        <v>0.93</v>
      </c>
      <c r="I714" s="4">
        <v>0</v>
      </c>
    </row>
    <row r="715" spans="1:9" x14ac:dyDescent="0.2">
      <c r="A715" s="2">
        <v>9</v>
      </c>
      <c r="B715" s="1" t="s">
        <v>141</v>
      </c>
      <c r="C715" s="4">
        <v>7</v>
      </c>
      <c r="D715" s="8">
        <v>2.29</v>
      </c>
      <c r="E715" s="4">
        <v>6</v>
      </c>
      <c r="F715" s="8">
        <v>3.17</v>
      </c>
      <c r="G715" s="4">
        <v>1</v>
      </c>
      <c r="H715" s="8">
        <v>0.93</v>
      </c>
      <c r="I715" s="4">
        <v>0</v>
      </c>
    </row>
    <row r="716" spans="1:9" x14ac:dyDescent="0.2">
      <c r="A716" s="2">
        <v>9</v>
      </c>
      <c r="B716" s="1" t="s">
        <v>168</v>
      </c>
      <c r="C716" s="4">
        <v>7</v>
      </c>
      <c r="D716" s="8">
        <v>2.29</v>
      </c>
      <c r="E716" s="4">
        <v>1</v>
      </c>
      <c r="F716" s="8">
        <v>0.53</v>
      </c>
      <c r="G716" s="4">
        <v>6</v>
      </c>
      <c r="H716" s="8">
        <v>5.56</v>
      </c>
      <c r="I716" s="4">
        <v>0</v>
      </c>
    </row>
    <row r="717" spans="1:9" x14ac:dyDescent="0.2">
      <c r="A717" s="2">
        <v>15</v>
      </c>
      <c r="B717" s="1" t="s">
        <v>163</v>
      </c>
      <c r="C717" s="4">
        <v>6</v>
      </c>
      <c r="D717" s="8">
        <v>1.96</v>
      </c>
      <c r="E717" s="4">
        <v>5</v>
      </c>
      <c r="F717" s="8">
        <v>2.65</v>
      </c>
      <c r="G717" s="4">
        <v>1</v>
      </c>
      <c r="H717" s="8">
        <v>0.93</v>
      </c>
      <c r="I717" s="4">
        <v>0</v>
      </c>
    </row>
    <row r="718" spans="1:9" x14ac:dyDescent="0.2">
      <c r="A718" s="2">
        <v>15</v>
      </c>
      <c r="B718" s="1" t="s">
        <v>170</v>
      </c>
      <c r="C718" s="4">
        <v>6</v>
      </c>
      <c r="D718" s="8">
        <v>1.96</v>
      </c>
      <c r="E718" s="4">
        <v>6</v>
      </c>
      <c r="F718" s="8">
        <v>3.17</v>
      </c>
      <c r="G718" s="4">
        <v>0</v>
      </c>
      <c r="H718" s="8">
        <v>0</v>
      </c>
      <c r="I718" s="4">
        <v>0</v>
      </c>
    </row>
    <row r="719" spans="1:9" x14ac:dyDescent="0.2">
      <c r="A719" s="2">
        <v>15</v>
      </c>
      <c r="B719" s="1" t="s">
        <v>149</v>
      </c>
      <c r="C719" s="4">
        <v>6</v>
      </c>
      <c r="D719" s="8">
        <v>1.96</v>
      </c>
      <c r="E719" s="4">
        <v>6</v>
      </c>
      <c r="F719" s="8">
        <v>3.17</v>
      </c>
      <c r="G719" s="4">
        <v>0</v>
      </c>
      <c r="H719" s="8">
        <v>0</v>
      </c>
      <c r="I719" s="4">
        <v>0</v>
      </c>
    </row>
    <row r="720" spans="1:9" x14ac:dyDescent="0.2">
      <c r="A720" s="2">
        <v>18</v>
      </c>
      <c r="B720" s="1" t="s">
        <v>220</v>
      </c>
      <c r="C720" s="4">
        <v>5</v>
      </c>
      <c r="D720" s="8">
        <v>1.63</v>
      </c>
      <c r="E720" s="4">
        <v>5</v>
      </c>
      <c r="F720" s="8">
        <v>2.65</v>
      </c>
      <c r="G720" s="4">
        <v>0</v>
      </c>
      <c r="H720" s="8">
        <v>0</v>
      </c>
      <c r="I720" s="4">
        <v>0</v>
      </c>
    </row>
    <row r="721" spans="1:9" x14ac:dyDescent="0.2">
      <c r="A721" s="2">
        <v>18</v>
      </c>
      <c r="B721" s="1" t="s">
        <v>164</v>
      </c>
      <c r="C721" s="4">
        <v>5</v>
      </c>
      <c r="D721" s="8">
        <v>1.63</v>
      </c>
      <c r="E721" s="4">
        <v>0</v>
      </c>
      <c r="F721" s="8">
        <v>0</v>
      </c>
      <c r="G721" s="4">
        <v>5</v>
      </c>
      <c r="H721" s="8">
        <v>4.63</v>
      </c>
      <c r="I721" s="4">
        <v>0</v>
      </c>
    </row>
    <row r="722" spans="1:9" x14ac:dyDescent="0.2">
      <c r="A722" s="2">
        <v>18</v>
      </c>
      <c r="B722" s="1" t="s">
        <v>140</v>
      </c>
      <c r="C722" s="4">
        <v>5</v>
      </c>
      <c r="D722" s="8">
        <v>1.63</v>
      </c>
      <c r="E722" s="4">
        <v>4</v>
      </c>
      <c r="F722" s="8">
        <v>2.12</v>
      </c>
      <c r="G722" s="4">
        <v>1</v>
      </c>
      <c r="H722" s="8">
        <v>0.93</v>
      </c>
      <c r="I722" s="4">
        <v>0</v>
      </c>
    </row>
    <row r="723" spans="1:9" x14ac:dyDescent="0.2">
      <c r="A723" s="2">
        <v>18</v>
      </c>
      <c r="B723" s="1" t="s">
        <v>222</v>
      </c>
      <c r="C723" s="4">
        <v>5</v>
      </c>
      <c r="D723" s="8">
        <v>1.63</v>
      </c>
      <c r="E723" s="4">
        <v>2</v>
      </c>
      <c r="F723" s="8">
        <v>1.06</v>
      </c>
      <c r="G723" s="4">
        <v>3</v>
      </c>
      <c r="H723" s="8">
        <v>2.78</v>
      </c>
      <c r="I723" s="4">
        <v>0</v>
      </c>
    </row>
    <row r="724" spans="1:9" x14ac:dyDescent="0.2">
      <c r="A724" s="2">
        <v>18</v>
      </c>
      <c r="B724" s="1" t="s">
        <v>209</v>
      </c>
      <c r="C724" s="4">
        <v>5</v>
      </c>
      <c r="D724" s="8">
        <v>1.63</v>
      </c>
      <c r="E724" s="4">
        <v>5</v>
      </c>
      <c r="F724" s="8">
        <v>2.65</v>
      </c>
      <c r="G724" s="4">
        <v>0</v>
      </c>
      <c r="H724" s="8">
        <v>0</v>
      </c>
      <c r="I724" s="4">
        <v>0</v>
      </c>
    </row>
    <row r="725" spans="1:9" x14ac:dyDescent="0.2">
      <c r="A725" s="1"/>
      <c r="C725" s="4"/>
      <c r="D725" s="8"/>
      <c r="E725" s="4"/>
      <c r="F725" s="8"/>
      <c r="G725" s="4"/>
      <c r="H725" s="8"/>
      <c r="I725" s="4"/>
    </row>
    <row r="726" spans="1:9" x14ac:dyDescent="0.2">
      <c r="A726" s="1" t="s">
        <v>29</v>
      </c>
      <c r="C726" s="4"/>
      <c r="D726" s="8"/>
      <c r="E726" s="4"/>
      <c r="F726" s="8"/>
      <c r="G726" s="4"/>
      <c r="H726" s="8"/>
      <c r="I726" s="4"/>
    </row>
    <row r="727" spans="1:9" x14ac:dyDescent="0.2">
      <c r="A727" s="2">
        <v>1</v>
      </c>
      <c r="B727" s="1" t="s">
        <v>135</v>
      </c>
      <c r="C727" s="4">
        <v>5</v>
      </c>
      <c r="D727" s="8">
        <v>10.87</v>
      </c>
      <c r="E727" s="4">
        <v>1</v>
      </c>
      <c r="F727" s="8">
        <v>4.3499999999999996</v>
      </c>
      <c r="G727" s="4">
        <v>4</v>
      </c>
      <c r="H727" s="8">
        <v>20</v>
      </c>
      <c r="I727" s="4">
        <v>0</v>
      </c>
    </row>
    <row r="728" spans="1:9" x14ac:dyDescent="0.2">
      <c r="A728" s="2">
        <v>2</v>
      </c>
      <c r="B728" s="1" t="s">
        <v>181</v>
      </c>
      <c r="C728" s="4">
        <v>4</v>
      </c>
      <c r="D728" s="8">
        <v>8.6999999999999993</v>
      </c>
      <c r="E728" s="4">
        <v>2</v>
      </c>
      <c r="F728" s="8">
        <v>8.6999999999999993</v>
      </c>
      <c r="G728" s="4">
        <v>2</v>
      </c>
      <c r="H728" s="8">
        <v>10</v>
      </c>
      <c r="I728" s="4">
        <v>0</v>
      </c>
    </row>
    <row r="729" spans="1:9" x14ac:dyDescent="0.2">
      <c r="A729" s="2">
        <v>3</v>
      </c>
      <c r="B729" s="1" t="s">
        <v>140</v>
      </c>
      <c r="C729" s="4">
        <v>3</v>
      </c>
      <c r="D729" s="8">
        <v>6.52</v>
      </c>
      <c r="E729" s="4">
        <v>3</v>
      </c>
      <c r="F729" s="8">
        <v>13.04</v>
      </c>
      <c r="G729" s="4">
        <v>0</v>
      </c>
      <c r="H729" s="8">
        <v>0</v>
      </c>
      <c r="I729" s="4">
        <v>0</v>
      </c>
    </row>
    <row r="730" spans="1:9" x14ac:dyDescent="0.2">
      <c r="A730" s="2">
        <v>3</v>
      </c>
      <c r="B730" s="1" t="s">
        <v>168</v>
      </c>
      <c r="C730" s="4">
        <v>3</v>
      </c>
      <c r="D730" s="8">
        <v>6.52</v>
      </c>
      <c r="E730" s="4">
        <v>2</v>
      </c>
      <c r="F730" s="8">
        <v>8.6999999999999993</v>
      </c>
      <c r="G730" s="4">
        <v>1</v>
      </c>
      <c r="H730" s="8">
        <v>5</v>
      </c>
      <c r="I730" s="4">
        <v>0</v>
      </c>
    </row>
    <row r="731" spans="1:9" x14ac:dyDescent="0.2">
      <c r="A731" s="2">
        <v>3</v>
      </c>
      <c r="B731" s="1" t="s">
        <v>154</v>
      </c>
      <c r="C731" s="4">
        <v>3</v>
      </c>
      <c r="D731" s="8">
        <v>6.52</v>
      </c>
      <c r="E731" s="4">
        <v>3</v>
      </c>
      <c r="F731" s="8">
        <v>13.04</v>
      </c>
      <c r="G731" s="4">
        <v>0</v>
      </c>
      <c r="H731" s="8">
        <v>0</v>
      </c>
      <c r="I731" s="4">
        <v>0</v>
      </c>
    </row>
    <row r="732" spans="1:9" x14ac:dyDescent="0.2">
      <c r="A732" s="2">
        <v>6</v>
      </c>
      <c r="B732" s="1" t="s">
        <v>223</v>
      </c>
      <c r="C732" s="4">
        <v>2</v>
      </c>
      <c r="D732" s="8">
        <v>4.3499999999999996</v>
      </c>
      <c r="E732" s="4">
        <v>1</v>
      </c>
      <c r="F732" s="8">
        <v>4.3499999999999996</v>
      </c>
      <c r="G732" s="4">
        <v>1</v>
      </c>
      <c r="H732" s="8">
        <v>5</v>
      </c>
      <c r="I732" s="4">
        <v>0</v>
      </c>
    </row>
    <row r="733" spans="1:9" x14ac:dyDescent="0.2">
      <c r="A733" s="2">
        <v>6</v>
      </c>
      <c r="B733" s="1" t="s">
        <v>174</v>
      </c>
      <c r="C733" s="4">
        <v>2</v>
      </c>
      <c r="D733" s="8">
        <v>4.3499999999999996</v>
      </c>
      <c r="E733" s="4">
        <v>2</v>
      </c>
      <c r="F733" s="8">
        <v>8.6999999999999993</v>
      </c>
      <c r="G733" s="4">
        <v>0</v>
      </c>
      <c r="H733" s="8">
        <v>0</v>
      </c>
      <c r="I733" s="4">
        <v>0</v>
      </c>
    </row>
    <row r="734" spans="1:9" x14ac:dyDescent="0.2">
      <c r="A734" s="2">
        <v>6</v>
      </c>
      <c r="B734" s="1" t="s">
        <v>227</v>
      </c>
      <c r="C734" s="4">
        <v>2</v>
      </c>
      <c r="D734" s="8">
        <v>4.3499999999999996</v>
      </c>
      <c r="E734" s="4">
        <v>2</v>
      </c>
      <c r="F734" s="8">
        <v>8.6999999999999993</v>
      </c>
      <c r="G734" s="4">
        <v>0</v>
      </c>
      <c r="H734" s="8">
        <v>0</v>
      </c>
      <c r="I734" s="4">
        <v>0</v>
      </c>
    </row>
    <row r="735" spans="1:9" x14ac:dyDescent="0.2">
      <c r="A735" s="2">
        <v>6</v>
      </c>
      <c r="B735" s="1" t="s">
        <v>170</v>
      </c>
      <c r="C735" s="4">
        <v>2</v>
      </c>
      <c r="D735" s="8">
        <v>4.3499999999999996</v>
      </c>
      <c r="E735" s="4">
        <v>2</v>
      </c>
      <c r="F735" s="8">
        <v>8.6999999999999993</v>
      </c>
      <c r="G735" s="4">
        <v>0</v>
      </c>
      <c r="H735" s="8">
        <v>0</v>
      </c>
      <c r="I735" s="4">
        <v>0</v>
      </c>
    </row>
    <row r="736" spans="1:9" x14ac:dyDescent="0.2">
      <c r="A736" s="2">
        <v>10</v>
      </c>
      <c r="B736" s="1" t="s">
        <v>190</v>
      </c>
      <c r="C736" s="4">
        <v>1</v>
      </c>
      <c r="D736" s="8">
        <v>2.17</v>
      </c>
      <c r="E736" s="4">
        <v>0</v>
      </c>
      <c r="F736" s="8">
        <v>0</v>
      </c>
      <c r="G736" s="4">
        <v>1</v>
      </c>
      <c r="H736" s="8">
        <v>5</v>
      </c>
      <c r="I736" s="4">
        <v>0</v>
      </c>
    </row>
    <row r="737" spans="1:9" x14ac:dyDescent="0.2">
      <c r="A737" s="2">
        <v>10</v>
      </c>
      <c r="B737" s="1" t="s">
        <v>224</v>
      </c>
      <c r="C737" s="4">
        <v>1</v>
      </c>
      <c r="D737" s="8">
        <v>2.17</v>
      </c>
      <c r="E737" s="4">
        <v>0</v>
      </c>
      <c r="F737" s="8">
        <v>0</v>
      </c>
      <c r="G737" s="4">
        <v>1</v>
      </c>
      <c r="H737" s="8">
        <v>5</v>
      </c>
      <c r="I737" s="4">
        <v>0</v>
      </c>
    </row>
    <row r="738" spans="1:9" x14ac:dyDescent="0.2">
      <c r="A738" s="2">
        <v>10</v>
      </c>
      <c r="B738" s="1" t="s">
        <v>196</v>
      </c>
      <c r="C738" s="4">
        <v>1</v>
      </c>
      <c r="D738" s="8">
        <v>2.17</v>
      </c>
      <c r="E738" s="4">
        <v>0</v>
      </c>
      <c r="F738" s="8">
        <v>0</v>
      </c>
      <c r="G738" s="4">
        <v>1</v>
      </c>
      <c r="H738" s="8">
        <v>5</v>
      </c>
      <c r="I738" s="4">
        <v>0</v>
      </c>
    </row>
    <row r="739" spans="1:9" x14ac:dyDescent="0.2">
      <c r="A739" s="2">
        <v>10</v>
      </c>
      <c r="B739" s="1" t="s">
        <v>225</v>
      </c>
      <c r="C739" s="4">
        <v>1</v>
      </c>
      <c r="D739" s="8">
        <v>2.17</v>
      </c>
      <c r="E739" s="4">
        <v>0</v>
      </c>
      <c r="F739" s="8">
        <v>0</v>
      </c>
      <c r="G739" s="4">
        <v>1</v>
      </c>
      <c r="H739" s="8">
        <v>5</v>
      </c>
      <c r="I739" s="4">
        <v>0</v>
      </c>
    </row>
    <row r="740" spans="1:9" x14ac:dyDescent="0.2">
      <c r="A740" s="2">
        <v>10</v>
      </c>
      <c r="B740" s="1" t="s">
        <v>164</v>
      </c>
      <c r="C740" s="4">
        <v>1</v>
      </c>
      <c r="D740" s="8">
        <v>2.17</v>
      </c>
      <c r="E740" s="4">
        <v>0</v>
      </c>
      <c r="F740" s="8">
        <v>0</v>
      </c>
      <c r="G740" s="4">
        <v>1</v>
      </c>
      <c r="H740" s="8">
        <v>5</v>
      </c>
      <c r="I740" s="4">
        <v>0</v>
      </c>
    </row>
    <row r="741" spans="1:9" x14ac:dyDescent="0.2">
      <c r="A741" s="2">
        <v>10</v>
      </c>
      <c r="B741" s="1" t="s">
        <v>226</v>
      </c>
      <c r="C741" s="4">
        <v>1</v>
      </c>
      <c r="D741" s="8">
        <v>2.17</v>
      </c>
      <c r="E741" s="4">
        <v>0</v>
      </c>
      <c r="F741" s="8">
        <v>0</v>
      </c>
      <c r="G741" s="4">
        <v>1</v>
      </c>
      <c r="H741" s="8">
        <v>5</v>
      </c>
      <c r="I741" s="4">
        <v>0</v>
      </c>
    </row>
    <row r="742" spans="1:9" x14ac:dyDescent="0.2">
      <c r="A742" s="2">
        <v>10</v>
      </c>
      <c r="B742" s="1" t="s">
        <v>166</v>
      </c>
      <c r="C742" s="4">
        <v>1</v>
      </c>
      <c r="D742" s="8">
        <v>2.17</v>
      </c>
      <c r="E742" s="4">
        <v>1</v>
      </c>
      <c r="F742" s="8">
        <v>4.3499999999999996</v>
      </c>
      <c r="G742" s="4">
        <v>0</v>
      </c>
      <c r="H742" s="8">
        <v>0</v>
      </c>
      <c r="I742" s="4">
        <v>0</v>
      </c>
    </row>
    <row r="743" spans="1:9" x14ac:dyDescent="0.2">
      <c r="A743" s="2">
        <v>10</v>
      </c>
      <c r="B743" s="1" t="s">
        <v>204</v>
      </c>
      <c r="C743" s="4">
        <v>1</v>
      </c>
      <c r="D743" s="8">
        <v>2.17</v>
      </c>
      <c r="E743" s="4">
        <v>0</v>
      </c>
      <c r="F743" s="8">
        <v>0</v>
      </c>
      <c r="G743" s="4">
        <v>1</v>
      </c>
      <c r="H743" s="8">
        <v>5</v>
      </c>
      <c r="I743" s="4">
        <v>0</v>
      </c>
    </row>
    <row r="744" spans="1:9" x14ac:dyDescent="0.2">
      <c r="A744" s="2">
        <v>10</v>
      </c>
      <c r="B744" s="1" t="s">
        <v>143</v>
      </c>
      <c r="C744" s="4">
        <v>1</v>
      </c>
      <c r="D744" s="8">
        <v>2.17</v>
      </c>
      <c r="E744" s="4">
        <v>1</v>
      </c>
      <c r="F744" s="8">
        <v>4.3499999999999996</v>
      </c>
      <c r="G744" s="4">
        <v>0</v>
      </c>
      <c r="H744" s="8">
        <v>0</v>
      </c>
      <c r="I744" s="4">
        <v>0</v>
      </c>
    </row>
    <row r="745" spans="1:9" x14ac:dyDescent="0.2">
      <c r="A745" s="2">
        <v>10</v>
      </c>
      <c r="B745" s="1" t="s">
        <v>146</v>
      </c>
      <c r="C745" s="4">
        <v>1</v>
      </c>
      <c r="D745" s="8">
        <v>2.17</v>
      </c>
      <c r="E745" s="4">
        <v>0</v>
      </c>
      <c r="F745" s="8">
        <v>0</v>
      </c>
      <c r="G745" s="4">
        <v>0</v>
      </c>
      <c r="H745" s="8">
        <v>0</v>
      </c>
      <c r="I745" s="4">
        <v>0</v>
      </c>
    </row>
    <row r="746" spans="1:9" x14ac:dyDescent="0.2">
      <c r="A746" s="2">
        <v>10</v>
      </c>
      <c r="B746" s="1" t="s">
        <v>221</v>
      </c>
      <c r="C746" s="4">
        <v>1</v>
      </c>
      <c r="D746" s="8">
        <v>2.17</v>
      </c>
      <c r="E746" s="4">
        <v>0</v>
      </c>
      <c r="F746" s="8">
        <v>0</v>
      </c>
      <c r="G746" s="4">
        <v>1</v>
      </c>
      <c r="H746" s="8">
        <v>5</v>
      </c>
      <c r="I746" s="4">
        <v>0</v>
      </c>
    </row>
    <row r="747" spans="1:9" x14ac:dyDescent="0.2">
      <c r="A747" s="2">
        <v>10</v>
      </c>
      <c r="B747" s="1" t="s">
        <v>147</v>
      </c>
      <c r="C747" s="4">
        <v>1</v>
      </c>
      <c r="D747" s="8">
        <v>2.17</v>
      </c>
      <c r="E747" s="4">
        <v>1</v>
      </c>
      <c r="F747" s="8">
        <v>4.3499999999999996</v>
      </c>
      <c r="G747" s="4">
        <v>0</v>
      </c>
      <c r="H747" s="8">
        <v>0</v>
      </c>
      <c r="I747" s="4">
        <v>0</v>
      </c>
    </row>
    <row r="748" spans="1:9" x14ac:dyDescent="0.2">
      <c r="A748" s="2">
        <v>10</v>
      </c>
      <c r="B748" s="1" t="s">
        <v>187</v>
      </c>
      <c r="C748" s="4">
        <v>1</v>
      </c>
      <c r="D748" s="8">
        <v>2.17</v>
      </c>
      <c r="E748" s="4">
        <v>0</v>
      </c>
      <c r="F748" s="8">
        <v>0</v>
      </c>
      <c r="G748" s="4">
        <v>0</v>
      </c>
      <c r="H748" s="8">
        <v>0</v>
      </c>
      <c r="I748" s="4">
        <v>0</v>
      </c>
    </row>
    <row r="749" spans="1:9" x14ac:dyDescent="0.2">
      <c r="A749" s="2">
        <v>10</v>
      </c>
      <c r="B749" s="1" t="s">
        <v>150</v>
      </c>
      <c r="C749" s="4">
        <v>1</v>
      </c>
      <c r="D749" s="8">
        <v>2.17</v>
      </c>
      <c r="E749" s="4">
        <v>1</v>
      </c>
      <c r="F749" s="8">
        <v>4.3499999999999996</v>
      </c>
      <c r="G749" s="4">
        <v>0</v>
      </c>
      <c r="H749" s="8">
        <v>0</v>
      </c>
      <c r="I749" s="4">
        <v>0</v>
      </c>
    </row>
    <row r="750" spans="1:9" x14ac:dyDescent="0.2">
      <c r="A750" s="2">
        <v>10</v>
      </c>
      <c r="B750" s="1" t="s">
        <v>153</v>
      </c>
      <c r="C750" s="4">
        <v>1</v>
      </c>
      <c r="D750" s="8">
        <v>2.17</v>
      </c>
      <c r="E750" s="4">
        <v>1</v>
      </c>
      <c r="F750" s="8">
        <v>4.3499999999999996</v>
      </c>
      <c r="G750" s="4">
        <v>0</v>
      </c>
      <c r="H750" s="8">
        <v>0</v>
      </c>
      <c r="I750" s="4">
        <v>0</v>
      </c>
    </row>
    <row r="751" spans="1:9" x14ac:dyDescent="0.2">
      <c r="A751" s="2">
        <v>10</v>
      </c>
      <c r="B751" s="1" t="s">
        <v>216</v>
      </c>
      <c r="C751" s="4">
        <v>1</v>
      </c>
      <c r="D751" s="8">
        <v>2.17</v>
      </c>
      <c r="E751" s="4">
        <v>0</v>
      </c>
      <c r="F751" s="8">
        <v>0</v>
      </c>
      <c r="G751" s="4">
        <v>0</v>
      </c>
      <c r="H751" s="8">
        <v>0</v>
      </c>
      <c r="I751" s="4">
        <v>0</v>
      </c>
    </row>
    <row r="752" spans="1:9" x14ac:dyDescent="0.2">
      <c r="A752" s="2">
        <v>10</v>
      </c>
      <c r="B752" s="1" t="s">
        <v>180</v>
      </c>
      <c r="C752" s="4">
        <v>1</v>
      </c>
      <c r="D752" s="8">
        <v>2.17</v>
      </c>
      <c r="E752" s="4">
        <v>0</v>
      </c>
      <c r="F752" s="8">
        <v>0</v>
      </c>
      <c r="G752" s="4">
        <v>1</v>
      </c>
      <c r="H752" s="8">
        <v>5</v>
      </c>
      <c r="I752" s="4">
        <v>0</v>
      </c>
    </row>
    <row r="753" spans="1:9" x14ac:dyDescent="0.2">
      <c r="A753" s="2">
        <v>10</v>
      </c>
      <c r="B753" s="1" t="s">
        <v>176</v>
      </c>
      <c r="C753" s="4">
        <v>1</v>
      </c>
      <c r="D753" s="8">
        <v>2.17</v>
      </c>
      <c r="E753" s="4">
        <v>0</v>
      </c>
      <c r="F753" s="8">
        <v>0</v>
      </c>
      <c r="G753" s="4">
        <v>1</v>
      </c>
      <c r="H753" s="8">
        <v>5</v>
      </c>
      <c r="I753" s="4">
        <v>0</v>
      </c>
    </row>
    <row r="754" spans="1:9" x14ac:dyDescent="0.2">
      <c r="A754" s="2">
        <v>10</v>
      </c>
      <c r="B754" s="1" t="s">
        <v>228</v>
      </c>
      <c r="C754" s="4">
        <v>1</v>
      </c>
      <c r="D754" s="8">
        <v>2.17</v>
      </c>
      <c r="E754" s="4">
        <v>0</v>
      </c>
      <c r="F754" s="8">
        <v>0</v>
      </c>
      <c r="G754" s="4">
        <v>1</v>
      </c>
      <c r="H754" s="8">
        <v>5</v>
      </c>
      <c r="I754" s="4">
        <v>0</v>
      </c>
    </row>
    <row r="755" spans="1:9" x14ac:dyDescent="0.2">
      <c r="A755" s="2">
        <v>10</v>
      </c>
      <c r="B755" s="1" t="s">
        <v>212</v>
      </c>
      <c r="C755" s="4">
        <v>1</v>
      </c>
      <c r="D755" s="8">
        <v>2.17</v>
      </c>
      <c r="E755" s="4">
        <v>0</v>
      </c>
      <c r="F755" s="8">
        <v>0</v>
      </c>
      <c r="G755" s="4">
        <v>1</v>
      </c>
      <c r="H755" s="8">
        <v>5</v>
      </c>
      <c r="I755" s="4">
        <v>0</v>
      </c>
    </row>
    <row r="756" spans="1:9" x14ac:dyDescent="0.2">
      <c r="A756" s="1"/>
      <c r="C756" s="4"/>
      <c r="D756" s="8"/>
      <c r="E756" s="4"/>
      <c r="F756" s="8"/>
      <c r="G756" s="4"/>
      <c r="H756" s="8"/>
      <c r="I756" s="4"/>
    </row>
    <row r="757" spans="1:9" x14ac:dyDescent="0.2">
      <c r="A757" s="1" t="s">
        <v>30</v>
      </c>
      <c r="C757" s="4"/>
      <c r="D757" s="8"/>
      <c r="E757" s="4"/>
      <c r="F757" s="8"/>
      <c r="G757" s="4"/>
      <c r="H757" s="8"/>
      <c r="I757" s="4"/>
    </row>
    <row r="758" spans="1:9" x14ac:dyDescent="0.2">
      <c r="A758" s="2">
        <v>1</v>
      </c>
      <c r="B758" s="1" t="s">
        <v>135</v>
      </c>
      <c r="C758" s="4">
        <v>12</v>
      </c>
      <c r="D758" s="8">
        <v>6.22</v>
      </c>
      <c r="E758" s="4">
        <v>0</v>
      </c>
      <c r="F758" s="8">
        <v>0</v>
      </c>
      <c r="G758" s="4">
        <v>12</v>
      </c>
      <c r="H758" s="8">
        <v>16.670000000000002</v>
      </c>
      <c r="I758" s="4">
        <v>0</v>
      </c>
    </row>
    <row r="759" spans="1:9" x14ac:dyDescent="0.2">
      <c r="A759" s="2">
        <v>2</v>
      </c>
      <c r="B759" s="1" t="s">
        <v>151</v>
      </c>
      <c r="C759" s="4">
        <v>10</v>
      </c>
      <c r="D759" s="8">
        <v>5.18</v>
      </c>
      <c r="E759" s="4">
        <v>8</v>
      </c>
      <c r="F759" s="8">
        <v>6.96</v>
      </c>
      <c r="G759" s="4">
        <v>2</v>
      </c>
      <c r="H759" s="8">
        <v>2.78</v>
      </c>
      <c r="I759" s="4">
        <v>0</v>
      </c>
    </row>
    <row r="760" spans="1:9" x14ac:dyDescent="0.2">
      <c r="A760" s="2">
        <v>3</v>
      </c>
      <c r="B760" s="1" t="s">
        <v>181</v>
      </c>
      <c r="C760" s="4">
        <v>9</v>
      </c>
      <c r="D760" s="8">
        <v>4.66</v>
      </c>
      <c r="E760" s="4">
        <v>9</v>
      </c>
      <c r="F760" s="8">
        <v>7.83</v>
      </c>
      <c r="G760" s="4">
        <v>0</v>
      </c>
      <c r="H760" s="8">
        <v>0</v>
      </c>
      <c r="I760" s="4">
        <v>0</v>
      </c>
    </row>
    <row r="761" spans="1:9" x14ac:dyDescent="0.2">
      <c r="A761" s="2">
        <v>4</v>
      </c>
      <c r="B761" s="1" t="s">
        <v>140</v>
      </c>
      <c r="C761" s="4">
        <v>8</v>
      </c>
      <c r="D761" s="8">
        <v>4.1500000000000004</v>
      </c>
      <c r="E761" s="4">
        <v>6</v>
      </c>
      <c r="F761" s="8">
        <v>5.22</v>
      </c>
      <c r="G761" s="4">
        <v>2</v>
      </c>
      <c r="H761" s="8">
        <v>2.78</v>
      </c>
      <c r="I761" s="4">
        <v>0</v>
      </c>
    </row>
    <row r="762" spans="1:9" x14ac:dyDescent="0.2">
      <c r="A762" s="2">
        <v>4</v>
      </c>
      <c r="B762" s="1" t="s">
        <v>143</v>
      </c>
      <c r="C762" s="4">
        <v>8</v>
      </c>
      <c r="D762" s="8">
        <v>4.1500000000000004</v>
      </c>
      <c r="E762" s="4">
        <v>4</v>
      </c>
      <c r="F762" s="8">
        <v>3.48</v>
      </c>
      <c r="G762" s="4">
        <v>4</v>
      </c>
      <c r="H762" s="8">
        <v>5.56</v>
      </c>
      <c r="I762" s="4">
        <v>0</v>
      </c>
    </row>
    <row r="763" spans="1:9" x14ac:dyDescent="0.2">
      <c r="A763" s="2">
        <v>4</v>
      </c>
      <c r="B763" s="1" t="s">
        <v>147</v>
      </c>
      <c r="C763" s="4">
        <v>8</v>
      </c>
      <c r="D763" s="8">
        <v>4.1500000000000004</v>
      </c>
      <c r="E763" s="4">
        <v>5</v>
      </c>
      <c r="F763" s="8">
        <v>4.3499999999999996</v>
      </c>
      <c r="G763" s="4">
        <v>3</v>
      </c>
      <c r="H763" s="8">
        <v>4.17</v>
      </c>
      <c r="I763" s="4">
        <v>0</v>
      </c>
    </row>
    <row r="764" spans="1:9" x14ac:dyDescent="0.2">
      <c r="A764" s="2">
        <v>7</v>
      </c>
      <c r="B764" s="1" t="s">
        <v>137</v>
      </c>
      <c r="C764" s="4">
        <v>6</v>
      </c>
      <c r="D764" s="8">
        <v>3.11</v>
      </c>
      <c r="E764" s="4">
        <v>4</v>
      </c>
      <c r="F764" s="8">
        <v>3.48</v>
      </c>
      <c r="G764" s="4">
        <v>2</v>
      </c>
      <c r="H764" s="8">
        <v>2.78</v>
      </c>
      <c r="I764" s="4">
        <v>0</v>
      </c>
    </row>
    <row r="765" spans="1:9" x14ac:dyDescent="0.2">
      <c r="A765" s="2">
        <v>7</v>
      </c>
      <c r="B765" s="1" t="s">
        <v>166</v>
      </c>
      <c r="C765" s="4">
        <v>6</v>
      </c>
      <c r="D765" s="8">
        <v>3.11</v>
      </c>
      <c r="E765" s="4">
        <v>6</v>
      </c>
      <c r="F765" s="8">
        <v>5.22</v>
      </c>
      <c r="G765" s="4">
        <v>0</v>
      </c>
      <c r="H765" s="8">
        <v>0</v>
      </c>
      <c r="I765" s="4">
        <v>0</v>
      </c>
    </row>
    <row r="766" spans="1:9" x14ac:dyDescent="0.2">
      <c r="A766" s="2">
        <v>9</v>
      </c>
      <c r="B766" s="1" t="s">
        <v>142</v>
      </c>
      <c r="C766" s="4">
        <v>5</v>
      </c>
      <c r="D766" s="8">
        <v>2.59</v>
      </c>
      <c r="E766" s="4">
        <v>2</v>
      </c>
      <c r="F766" s="8">
        <v>1.74</v>
      </c>
      <c r="G766" s="4">
        <v>3</v>
      </c>
      <c r="H766" s="8">
        <v>4.17</v>
      </c>
      <c r="I766" s="4">
        <v>0</v>
      </c>
    </row>
    <row r="767" spans="1:9" x14ac:dyDescent="0.2">
      <c r="A767" s="2">
        <v>9</v>
      </c>
      <c r="B767" s="1" t="s">
        <v>148</v>
      </c>
      <c r="C767" s="4">
        <v>5</v>
      </c>
      <c r="D767" s="8">
        <v>2.59</v>
      </c>
      <c r="E767" s="4">
        <v>4</v>
      </c>
      <c r="F767" s="8">
        <v>3.48</v>
      </c>
      <c r="G767" s="4">
        <v>1</v>
      </c>
      <c r="H767" s="8">
        <v>1.39</v>
      </c>
      <c r="I767" s="4">
        <v>0</v>
      </c>
    </row>
    <row r="768" spans="1:9" x14ac:dyDescent="0.2">
      <c r="A768" s="2">
        <v>9</v>
      </c>
      <c r="B768" s="1" t="s">
        <v>150</v>
      </c>
      <c r="C768" s="4">
        <v>5</v>
      </c>
      <c r="D768" s="8">
        <v>2.59</v>
      </c>
      <c r="E768" s="4">
        <v>5</v>
      </c>
      <c r="F768" s="8">
        <v>4.3499999999999996</v>
      </c>
      <c r="G768" s="4">
        <v>0</v>
      </c>
      <c r="H768" s="8">
        <v>0</v>
      </c>
      <c r="I768" s="4">
        <v>0</v>
      </c>
    </row>
    <row r="769" spans="1:9" x14ac:dyDescent="0.2">
      <c r="A769" s="2">
        <v>12</v>
      </c>
      <c r="B769" s="1" t="s">
        <v>139</v>
      </c>
      <c r="C769" s="4">
        <v>4</v>
      </c>
      <c r="D769" s="8">
        <v>2.0699999999999998</v>
      </c>
      <c r="E769" s="4">
        <v>4</v>
      </c>
      <c r="F769" s="8">
        <v>3.48</v>
      </c>
      <c r="G769" s="4">
        <v>0</v>
      </c>
      <c r="H769" s="8">
        <v>0</v>
      </c>
      <c r="I769" s="4">
        <v>0</v>
      </c>
    </row>
    <row r="770" spans="1:9" x14ac:dyDescent="0.2">
      <c r="A770" s="2">
        <v>12</v>
      </c>
      <c r="B770" s="1" t="s">
        <v>174</v>
      </c>
      <c r="C770" s="4">
        <v>4</v>
      </c>
      <c r="D770" s="8">
        <v>2.0699999999999998</v>
      </c>
      <c r="E770" s="4">
        <v>4</v>
      </c>
      <c r="F770" s="8">
        <v>3.48</v>
      </c>
      <c r="G770" s="4">
        <v>0</v>
      </c>
      <c r="H770" s="8">
        <v>0</v>
      </c>
      <c r="I770" s="4">
        <v>0</v>
      </c>
    </row>
    <row r="771" spans="1:9" x14ac:dyDescent="0.2">
      <c r="A771" s="2">
        <v>12</v>
      </c>
      <c r="B771" s="1" t="s">
        <v>207</v>
      </c>
      <c r="C771" s="4">
        <v>4</v>
      </c>
      <c r="D771" s="8">
        <v>2.0699999999999998</v>
      </c>
      <c r="E771" s="4">
        <v>4</v>
      </c>
      <c r="F771" s="8">
        <v>3.48</v>
      </c>
      <c r="G771" s="4">
        <v>0</v>
      </c>
      <c r="H771" s="8">
        <v>0</v>
      </c>
      <c r="I771" s="4">
        <v>0</v>
      </c>
    </row>
    <row r="772" spans="1:9" x14ac:dyDescent="0.2">
      <c r="A772" s="2">
        <v>12</v>
      </c>
      <c r="B772" s="1" t="s">
        <v>170</v>
      </c>
      <c r="C772" s="4">
        <v>4</v>
      </c>
      <c r="D772" s="8">
        <v>2.0699999999999998</v>
      </c>
      <c r="E772" s="4">
        <v>4</v>
      </c>
      <c r="F772" s="8">
        <v>3.48</v>
      </c>
      <c r="G772" s="4">
        <v>0</v>
      </c>
      <c r="H772" s="8">
        <v>0</v>
      </c>
      <c r="I772" s="4">
        <v>0</v>
      </c>
    </row>
    <row r="773" spans="1:9" x14ac:dyDescent="0.2">
      <c r="A773" s="2">
        <v>12</v>
      </c>
      <c r="B773" s="1" t="s">
        <v>153</v>
      </c>
      <c r="C773" s="4">
        <v>4</v>
      </c>
      <c r="D773" s="8">
        <v>2.0699999999999998</v>
      </c>
      <c r="E773" s="4">
        <v>4</v>
      </c>
      <c r="F773" s="8">
        <v>3.48</v>
      </c>
      <c r="G773" s="4">
        <v>0</v>
      </c>
      <c r="H773" s="8">
        <v>0</v>
      </c>
      <c r="I773" s="4">
        <v>0</v>
      </c>
    </row>
    <row r="774" spans="1:9" x14ac:dyDescent="0.2">
      <c r="A774" s="2">
        <v>12</v>
      </c>
      <c r="B774" s="1" t="s">
        <v>154</v>
      </c>
      <c r="C774" s="4">
        <v>4</v>
      </c>
      <c r="D774" s="8">
        <v>2.0699999999999998</v>
      </c>
      <c r="E774" s="4">
        <v>3</v>
      </c>
      <c r="F774" s="8">
        <v>2.61</v>
      </c>
      <c r="G774" s="4">
        <v>1</v>
      </c>
      <c r="H774" s="8">
        <v>1.39</v>
      </c>
      <c r="I774" s="4">
        <v>0</v>
      </c>
    </row>
    <row r="775" spans="1:9" x14ac:dyDescent="0.2">
      <c r="A775" s="2">
        <v>18</v>
      </c>
      <c r="B775" s="1" t="s">
        <v>136</v>
      </c>
      <c r="C775" s="4">
        <v>3</v>
      </c>
      <c r="D775" s="8">
        <v>1.55</v>
      </c>
      <c r="E775" s="4">
        <v>1</v>
      </c>
      <c r="F775" s="8">
        <v>0.87</v>
      </c>
      <c r="G775" s="4">
        <v>2</v>
      </c>
      <c r="H775" s="8">
        <v>2.78</v>
      </c>
      <c r="I775" s="4">
        <v>0</v>
      </c>
    </row>
    <row r="776" spans="1:9" x14ac:dyDescent="0.2">
      <c r="A776" s="2">
        <v>18</v>
      </c>
      <c r="B776" s="1" t="s">
        <v>163</v>
      </c>
      <c r="C776" s="4">
        <v>3</v>
      </c>
      <c r="D776" s="8">
        <v>1.55</v>
      </c>
      <c r="E776" s="4">
        <v>0</v>
      </c>
      <c r="F776" s="8">
        <v>0</v>
      </c>
      <c r="G776" s="4">
        <v>3</v>
      </c>
      <c r="H776" s="8">
        <v>4.17</v>
      </c>
      <c r="I776" s="4">
        <v>0</v>
      </c>
    </row>
    <row r="777" spans="1:9" x14ac:dyDescent="0.2">
      <c r="A777" s="2">
        <v>18</v>
      </c>
      <c r="B777" s="1" t="s">
        <v>186</v>
      </c>
      <c r="C777" s="4">
        <v>3</v>
      </c>
      <c r="D777" s="8">
        <v>1.55</v>
      </c>
      <c r="E777" s="4">
        <v>0</v>
      </c>
      <c r="F777" s="8">
        <v>0</v>
      </c>
      <c r="G777" s="4">
        <v>3</v>
      </c>
      <c r="H777" s="8">
        <v>4.17</v>
      </c>
      <c r="I777" s="4">
        <v>0</v>
      </c>
    </row>
    <row r="778" spans="1:9" x14ac:dyDescent="0.2">
      <c r="A778" s="2">
        <v>18</v>
      </c>
      <c r="B778" s="1" t="s">
        <v>164</v>
      </c>
      <c r="C778" s="4">
        <v>3</v>
      </c>
      <c r="D778" s="8">
        <v>1.55</v>
      </c>
      <c r="E778" s="4">
        <v>0</v>
      </c>
      <c r="F778" s="8">
        <v>0</v>
      </c>
      <c r="G778" s="4">
        <v>3</v>
      </c>
      <c r="H778" s="8">
        <v>4.17</v>
      </c>
      <c r="I778" s="4">
        <v>0</v>
      </c>
    </row>
    <row r="779" spans="1:9" x14ac:dyDescent="0.2">
      <c r="A779" s="2">
        <v>18</v>
      </c>
      <c r="B779" s="1" t="s">
        <v>167</v>
      </c>
      <c r="C779" s="4">
        <v>3</v>
      </c>
      <c r="D779" s="8">
        <v>1.55</v>
      </c>
      <c r="E779" s="4">
        <v>2</v>
      </c>
      <c r="F779" s="8">
        <v>1.74</v>
      </c>
      <c r="G779" s="4">
        <v>1</v>
      </c>
      <c r="H779" s="8">
        <v>1.39</v>
      </c>
      <c r="I779" s="4">
        <v>0</v>
      </c>
    </row>
    <row r="780" spans="1:9" x14ac:dyDescent="0.2">
      <c r="A780" s="2">
        <v>18</v>
      </c>
      <c r="B780" s="1" t="s">
        <v>144</v>
      </c>
      <c r="C780" s="4">
        <v>3</v>
      </c>
      <c r="D780" s="8">
        <v>1.55</v>
      </c>
      <c r="E780" s="4">
        <v>0</v>
      </c>
      <c r="F780" s="8">
        <v>0</v>
      </c>
      <c r="G780" s="4">
        <v>3</v>
      </c>
      <c r="H780" s="8">
        <v>4.17</v>
      </c>
      <c r="I780" s="4">
        <v>0</v>
      </c>
    </row>
    <row r="781" spans="1:9" x14ac:dyDescent="0.2">
      <c r="A781" s="2">
        <v>18</v>
      </c>
      <c r="B781" s="1" t="s">
        <v>159</v>
      </c>
      <c r="C781" s="4">
        <v>3</v>
      </c>
      <c r="D781" s="8">
        <v>1.55</v>
      </c>
      <c r="E781" s="4">
        <v>3</v>
      </c>
      <c r="F781" s="8">
        <v>2.61</v>
      </c>
      <c r="G781" s="4">
        <v>0</v>
      </c>
      <c r="H781" s="8">
        <v>0</v>
      </c>
      <c r="I781" s="4">
        <v>0</v>
      </c>
    </row>
    <row r="782" spans="1:9" x14ac:dyDescent="0.2">
      <c r="A782" s="2">
        <v>18</v>
      </c>
      <c r="B782" s="1" t="s">
        <v>152</v>
      </c>
      <c r="C782" s="4">
        <v>3</v>
      </c>
      <c r="D782" s="8">
        <v>1.55</v>
      </c>
      <c r="E782" s="4">
        <v>2</v>
      </c>
      <c r="F782" s="8">
        <v>1.74</v>
      </c>
      <c r="G782" s="4">
        <v>0</v>
      </c>
      <c r="H782" s="8">
        <v>0</v>
      </c>
      <c r="I782" s="4">
        <v>1</v>
      </c>
    </row>
    <row r="783" spans="1:9" x14ac:dyDescent="0.2">
      <c r="A783" s="2">
        <v>18</v>
      </c>
      <c r="B783" s="1" t="s">
        <v>180</v>
      </c>
      <c r="C783" s="4">
        <v>3</v>
      </c>
      <c r="D783" s="8">
        <v>1.55</v>
      </c>
      <c r="E783" s="4">
        <v>0</v>
      </c>
      <c r="F783" s="8">
        <v>0</v>
      </c>
      <c r="G783" s="4">
        <v>3</v>
      </c>
      <c r="H783" s="8">
        <v>4.17</v>
      </c>
      <c r="I783" s="4">
        <v>0</v>
      </c>
    </row>
    <row r="784" spans="1:9" x14ac:dyDescent="0.2">
      <c r="A784" s="1"/>
      <c r="C784" s="4"/>
      <c r="D784" s="8"/>
      <c r="E784" s="4"/>
      <c r="F784" s="8"/>
      <c r="G784" s="4"/>
      <c r="H784" s="8"/>
      <c r="I784" s="4"/>
    </row>
    <row r="785" spans="1:9" x14ac:dyDescent="0.2">
      <c r="A785" s="1" t="s">
        <v>31</v>
      </c>
      <c r="C785" s="4"/>
      <c r="D785" s="8"/>
      <c r="E785" s="4"/>
      <c r="F785" s="8"/>
      <c r="G785" s="4"/>
      <c r="H785" s="8"/>
      <c r="I785" s="4"/>
    </row>
    <row r="786" spans="1:9" x14ac:dyDescent="0.2">
      <c r="A786" s="2">
        <v>1</v>
      </c>
      <c r="B786" s="1" t="s">
        <v>147</v>
      </c>
      <c r="C786" s="4">
        <v>15</v>
      </c>
      <c r="D786" s="8">
        <v>8.24</v>
      </c>
      <c r="E786" s="4">
        <v>8</v>
      </c>
      <c r="F786" s="8">
        <v>8.7899999999999991</v>
      </c>
      <c r="G786" s="4">
        <v>7</v>
      </c>
      <c r="H786" s="8">
        <v>7.78</v>
      </c>
      <c r="I786" s="4">
        <v>0</v>
      </c>
    </row>
    <row r="787" spans="1:9" x14ac:dyDescent="0.2">
      <c r="A787" s="2">
        <v>2</v>
      </c>
      <c r="B787" s="1" t="s">
        <v>135</v>
      </c>
      <c r="C787" s="4">
        <v>14</v>
      </c>
      <c r="D787" s="8">
        <v>7.69</v>
      </c>
      <c r="E787" s="4">
        <v>0</v>
      </c>
      <c r="F787" s="8">
        <v>0</v>
      </c>
      <c r="G787" s="4">
        <v>14</v>
      </c>
      <c r="H787" s="8">
        <v>15.56</v>
      </c>
      <c r="I787" s="4">
        <v>0</v>
      </c>
    </row>
    <row r="788" spans="1:9" x14ac:dyDescent="0.2">
      <c r="A788" s="2">
        <v>3</v>
      </c>
      <c r="B788" s="1" t="s">
        <v>137</v>
      </c>
      <c r="C788" s="4">
        <v>7</v>
      </c>
      <c r="D788" s="8">
        <v>3.85</v>
      </c>
      <c r="E788" s="4">
        <v>4</v>
      </c>
      <c r="F788" s="8">
        <v>4.4000000000000004</v>
      </c>
      <c r="G788" s="4">
        <v>3</v>
      </c>
      <c r="H788" s="8">
        <v>3.33</v>
      </c>
      <c r="I788" s="4">
        <v>0</v>
      </c>
    </row>
    <row r="789" spans="1:9" x14ac:dyDescent="0.2">
      <c r="A789" s="2">
        <v>4</v>
      </c>
      <c r="B789" s="1" t="s">
        <v>150</v>
      </c>
      <c r="C789" s="4">
        <v>6</v>
      </c>
      <c r="D789" s="8">
        <v>3.3</v>
      </c>
      <c r="E789" s="4">
        <v>6</v>
      </c>
      <c r="F789" s="8">
        <v>6.59</v>
      </c>
      <c r="G789" s="4">
        <v>0</v>
      </c>
      <c r="H789" s="8">
        <v>0</v>
      </c>
      <c r="I789" s="4">
        <v>0</v>
      </c>
    </row>
    <row r="790" spans="1:9" x14ac:dyDescent="0.2">
      <c r="A790" s="2">
        <v>4</v>
      </c>
      <c r="B790" s="1" t="s">
        <v>151</v>
      </c>
      <c r="C790" s="4">
        <v>6</v>
      </c>
      <c r="D790" s="8">
        <v>3.3</v>
      </c>
      <c r="E790" s="4">
        <v>6</v>
      </c>
      <c r="F790" s="8">
        <v>6.59</v>
      </c>
      <c r="G790" s="4">
        <v>0</v>
      </c>
      <c r="H790" s="8">
        <v>0</v>
      </c>
      <c r="I790" s="4">
        <v>0</v>
      </c>
    </row>
    <row r="791" spans="1:9" x14ac:dyDescent="0.2">
      <c r="A791" s="2">
        <v>6</v>
      </c>
      <c r="B791" s="1" t="s">
        <v>140</v>
      </c>
      <c r="C791" s="4">
        <v>5</v>
      </c>
      <c r="D791" s="8">
        <v>2.75</v>
      </c>
      <c r="E791" s="4">
        <v>3</v>
      </c>
      <c r="F791" s="8">
        <v>3.3</v>
      </c>
      <c r="G791" s="4">
        <v>2</v>
      </c>
      <c r="H791" s="8">
        <v>2.2200000000000002</v>
      </c>
      <c r="I791" s="4">
        <v>0</v>
      </c>
    </row>
    <row r="792" spans="1:9" x14ac:dyDescent="0.2">
      <c r="A792" s="2">
        <v>6</v>
      </c>
      <c r="B792" s="1" t="s">
        <v>141</v>
      </c>
      <c r="C792" s="4">
        <v>5</v>
      </c>
      <c r="D792" s="8">
        <v>2.75</v>
      </c>
      <c r="E792" s="4">
        <v>3</v>
      </c>
      <c r="F792" s="8">
        <v>3.3</v>
      </c>
      <c r="G792" s="4">
        <v>2</v>
      </c>
      <c r="H792" s="8">
        <v>2.2200000000000002</v>
      </c>
      <c r="I792" s="4">
        <v>0</v>
      </c>
    </row>
    <row r="793" spans="1:9" x14ac:dyDescent="0.2">
      <c r="A793" s="2">
        <v>8</v>
      </c>
      <c r="B793" s="1" t="s">
        <v>136</v>
      </c>
      <c r="C793" s="4">
        <v>4</v>
      </c>
      <c r="D793" s="8">
        <v>2.2000000000000002</v>
      </c>
      <c r="E793" s="4">
        <v>1</v>
      </c>
      <c r="F793" s="8">
        <v>1.1000000000000001</v>
      </c>
      <c r="G793" s="4">
        <v>3</v>
      </c>
      <c r="H793" s="8">
        <v>3.33</v>
      </c>
      <c r="I793" s="4">
        <v>0</v>
      </c>
    </row>
    <row r="794" spans="1:9" x14ac:dyDescent="0.2">
      <c r="A794" s="2">
        <v>8</v>
      </c>
      <c r="B794" s="1" t="s">
        <v>229</v>
      </c>
      <c r="C794" s="4">
        <v>4</v>
      </c>
      <c r="D794" s="8">
        <v>2.2000000000000002</v>
      </c>
      <c r="E794" s="4">
        <v>2</v>
      </c>
      <c r="F794" s="8">
        <v>2.2000000000000002</v>
      </c>
      <c r="G794" s="4">
        <v>2</v>
      </c>
      <c r="H794" s="8">
        <v>2.2200000000000002</v>
      </c>
      <c r="I794" s="4">
        <v>0</v>
      </c>
    </row>
    <row r="795" spans="1:9" x14ac:dyDescent="0.2">
      <c r="A795" s="2">
        <v>8</v>
      </c>
      <c r="B795" s="1" t="s">
        <v>143</v>
      </c>
      <c r="C795" s="4">
        <v>4</v>
      </c>
      <c r="D795" s="8">
        <v>2.2000000000000002</v>
      </c>
      <c r="E795" s="4">
        <v>3</v>
      </c>
      <c r="F795" s="8">
        <v>3.3</v>
      </c>
      <c r="G795" s="4">
        <v>1</v>
      </c>
      <c r="H795" s="8">
        <v>1.1100000000000001</v>
      </c>
      <c r="I795" s="4">
        <v>0</v>
      </c>
    </row>
    <row r="796" spans="1:9" x14ac:dyDescent="0.2">
      <c r="A796" s="2">
        <v>8</v>
      </c>
      <c r="B796" s="1" t="s">
        <v>209</v>
      </c>
      <c r="C796" s="4">
        <v>4</v>
      </c>
      <c r="D796" s="8">
        <v>2.2000000000000002</v>
      </c>
      <c r="E796" s="4">
        <v>4</v>
      </c>
      <c r="F796" s="8">
        <v>4.4000000000000004</v>
      </c>
      <c r="G796" s="4">
        <v>0</v>
      </c>
      <c r="H796" s="8">
        <v>0</v>
      </c>
      <c r="I796" s="4">
        <v>0</v>
      </c>
    </row>
    <row r="797" spans="1:9" x14ac:dyDescent="0.2">
      <c r="A797" s="2">
        <v>12</v>
      </c>
      <c r="B797" s="1" t="s">
        <v>184</v>
      </c>
      <c r="C797" s="4">
        <v>3</v>
      </c>
      <c r="D797" s="8">
        <v>1.65</v>
      </c>
      <c r="E797" s="4">
        <v>1</v>
      </c>
      <c r="F797" s="8">
        <v>1.1000000000000001</v>
      </c>
      <c r="G797" s="4">
        <v>2</v>
      </c>
      <c r="H797" s="8">
        <v>2.2200000000000002</v>
      </c>
      <c r="I797" s="4">
        <v>0</v>
      </c>
    </row>
    <row r="798" spans="1:9" x14ac:dyDescent="0.2">
      <c r="A798" s="2">
        <v>12</v>
      </c>
      <c r="B798" s="1" t="s">
        <v>190</v>
      </c>
      <c r="C798" s="4">
        <v>3</v>
      </c>
      <c r="D798" s="8">
        <v>1.65</v>
      </c>
      <c r="E798" s="4">
        <v>1</v>
      </c>
      <c r="F798" s="8">
        <v>1.1000000000000001</v>
      </c>
      <c r="G798" s="4">
        <v>2</v>
      </c>
      <c r="H798" s="8">
        <v>2.2200000000000002</v>
      </c>
      <c r="I798" s="4">
        <v>0</v>
      </c>
    </row>
    <row r="799" spans="1:9" x14ac:dyDescent="0.2">
      <c r="A799" s="2">
        <v>12</v>
      </c>
      <c r="B799" s="1" t="s">
        <v>192</v>
      </c>
      <c r="C799" s="4">
        <v>3</v>
      </c>
      <c r="D799" s="8">
        <v>1.65</v>
      </c>
      <c r="E799" s="4">
        <v>1</v>
      </c>
      <c r="F799" s="8">
        <v>1.1000000000000001</v>
      </c>
      <c r="G799" s="4">
        <v>2</v>
      </c>
      <c r="H799" s="8">
        <v>2.2200000000000002</v>
      </c>
      <c r="I799" s="4">
        <v>0</v>
      </c>
    </row>
    <row r="800" spans="1:9" x14ac:dyDescent="0.2">
      <c r="A800" s="2">
        <v>12</v>
      </c>
      <c r="B800" s="1" t="s">
        <v>195</v>
      </c>
      <c r="C800" s="4">
        <v>3</v>
      </c>
      <c r="D800" s="8">
        <v>1.65</v>
      </c>
      <c r="E800" s="4">
        <v>0</v>
      </c>
      <c r="F800" s="8">
        <v>0</v>
      </c>
      <c r="G800" s="4">
        <v>3</v>
      </c>
      <c r="H800" s="8">
        <v>3.33</v>
      </c>
      <c r="I800" s="4">
        <v>0</v>
      </c>
    </row>
    <row r="801" spans="1:9" x14ac:dyDescent="0.2">
      <c r="A801" s="2">
        <v>12</v>
      </c>
      <c r="B801" s="1" t="s">
        <v>203</v>
      </c>
      <c r="C801" s="4">
        <v>3</v>
      </c>
      <c r="D801" s="8">
        <v>1.65</v>
      </c>
      <c r="E801" s="4">
        <v>2</v>
      </c>
      <c r="F801" s="8">
        <v>2.2000000000000002</v>
      </c>
      <c r="G801" s="4">
        <v>1</v>
      </c>
      <c r="H801" s="8">
        <v>1.1100000000000001</v>
      </c>
      <c r="I801" s="4">
        <v>0</v>
      </c>
    </row>
    <row r="802" spans="1:9" x14ac:dyDescent="0.2">
      <c r="A802" s="2">
        <v>12</v>
      </c>
      <c r="B802" s="1" t="s">
        <v>168</v>
      </c>
      <c r="C802" s="4">
        <v>3</v>
      </c>
      <c r="D802" s="8">
        <v>1.65</v>
      </c>
      <c r="E802" s="4">
        <v>0</v>
      </c>
      <c r="F802" s="8">
        <v>0</v>
      </c>
      <c r="G802" s="4">
        <v>3</v>
      </c>
      <c r="H802" s="8">
        <v>3.33</v>
      </c>
      <c r="I802" s="4">
        <v>0</v>
      </c>
    </row>
    <row r="803" spans="1:9" x14ac:dyDescent="0.2">
      <c r="A803" s="2">
        <v>12</v>
      </c>
      <c r="B803" s="1" t="s">
        <v>170</v>
      </c>
      <c r="C803" s="4">
        <v>3</v>
      </c>
      <c r="D803" s="8">
        <v>1.65</v>
      </c>
      <c r="E803" s="4">
        <v>2</v>
      </c>
      <c r="F803" s="8">
        <v>2.2000000000000002</v>
      </c>
      <c r="G803" s="4">
        <v>1</v>
      </c>
      <c r="H803" s="8">
        <v>1.1100000000000001</v>
      </c>
      <c r="I803" s="4">
        <v>0</v>
      </c>
    </row>
    <row r="804" spans="1:9" x14ac:dyDescent="0.2">
      <c r="A804" s="2">
        <v>12</v>
      </c>
      <c r="B804" s="1" t="s">
        <v>148</v>
      </c>
      <c r="C804" s="4">
        <v>3</v>
      </c>
      <c r="D804" s="8">
        <v>1.65</v>
      </c>
      <c r="E804" s="4">
        <v>3</v>
      </c>
      <c r="F804" s="8">
        <v>3.3</v>
      </c>
      <c r="G804" s="4">
        <v>0</v>
      </c>
      <c r="H804" s="8">
        <v>0</v>
      </c>
      <c r="I804" s="4">
        <v>0</v>
      </c>
    </row>
    <row r="805" spans="1:9" x14ac:dyDescent="0.2">
      <c r="A805" s="2">
        <v>12</v>
      </c>
      <c r="B805" s="1" t="s">
        <v>154</v>
      </c>
      <c r="C805" s="4">
        <v>3</v>
      </c>
      <c r="D805" s="8">
        <v>1.65</v>
      </c>
      <c r="E805" s="4">
        <v>2</v>
      </c>
      <c r="F805" s="8">
        <v>2.2000000000000002</v>
      </c>
      <c r="G805" s="4">
        <v>1</v>
      </c>
      <c r="H805" s="8">
        <v>1.1100000000000001</v>
      </c>
      <c r="I805" s="4">
        <v>0</v>
      </c>
    </row>
    <row r="806" spans="1:9" x14ac:dyDescent="0.2">
      <c r="A806" s="2">
        <v>12</v>
      </c>
      <c r="B806" s="1" t="s">
        <v>212</v>
      </c>
      <c r="C806" s="4">
        <v>3</v>
      </c>
      <c r="D806" s="8">
        <v>1.65</v>
      </c>
      <c r="E806" s="4">
        <v>0</v>
      </c>
      <c r="F806" s="8">
        <v>0</v>
      </c>
      <c r="G806" s="4">
        <v>3</v>
      </c>
      <c r="H806" s="8">
        <v>3.33</v>
      </c>
      <c r="I806" s="4">
        <v>0</v>
      </c>
    </row>
    <row r="807" spans="1:9" x14ac:dyDescent="0.2">
      <c r="A807" s="1"/>
      <c r="C807" s="4"/>
      <c r="D807" s="8"/>
      <c r="E807" s="4"/>
      <c r="F807" s="8"/>
      <c r="G807" s="4"/>
      <c r="H807" s="8"/>
      <c r="I807" s="4"/>
    </row>
    <row r="808" spans="1:9" x14ac:dyDescent="0.2">
      <c r="A808" s="1" t="s">
        <v>32</v>
      </c>
      <c r="C808" s="4"/>
      <c r="D808" s="8"/>
      <c r="E808" s="4"/>
      <c r="F808" s="8"/>
      <c r="G808" s="4"/>
      <c r="H808" s="8"/>
      <c r="I808" s="4"/>
    </row>
    <row r="809" spans="1:9" x14ac:dyDescent="0.2">
      <c r="A809" s="2">
        <v>1</v>
      </c>
      <c r="B809" s="1" t="s">
        <v>147</v>
      </c>
      <c r="C809" s="4">
        <v>25</v>
      </c>
      <c r="D809" s="8">
        <v>7.55</v>
      </c>
      <c r="E809" s="4">
        <v>22</v>
      </c>
      <c r="F809" s="8">
        <v>10.23</v>
      </c>
      <c r="G809" s="4">
        <v>3</v>
      </c>
      <c r="H809" s="8">
        <v>2.73</v>
      </c>
      <c r="I809" s="4">
        <v>0</v>
      </c>
    </row>
    <row r="810" spans="1:9" x14ac:dyDescent="0.2">
      <c r="A810" s="2">
        <v>2</v>
      </c>
      <c r="B810" s="1" t="s">
        <v>135</v>
      </c>
      <c r="C810" s="4">
        <v>24</v>
      </c>
      <c r="D810" s="8">
        <v>7.25</v>
      </c>
      <c r="E810" s="4">
        <v>2</v>
      </c>
      <c r="F810" s="8">
        <v>0.93</v>
      </c>
      <c r="G810" s="4">
        <v>22</v>
      </c>
      <c r="H810" s="8">
        <v>20</v>
      </c>
      <c r="I810" s="4">
        <v>0</v>
      </c>
    </row>
    <row r="811" spans="1:9" x14ac:dyDescent="0.2">
      <c r="A811" s="2">
        <v>3</v>
      </c>
      <c r="B811" s="1" t="s">
        <v>159</v>
      </c>
      <c r="C811" s="4">
        <v>19</v>
      </c>
      <c r="D811" s="8">
        <v>5.74</v>
      </c>
      <c r="E811" s="4">
        <v>18</v>
      </c>
      <c r="F811" s="8">
        <v>8.3699999999999992</v>
      </c>
      <c r="G811" s="4">
        <v>1</v>
      </c>
      <c r="H811" s="8">
        <v>0.91</v>
      </c>
      <c r="I811" s="4">
        <v>0</v>
      </c>
    </row>
    <row r="812" spans="1:9" x14ac:dyDescent="0.2">
      <c r="A812" s="2">
        <v>4</v>
      </c>
      <c r="B812" s="1" t="s">
        <v>181</v>
      </c>
      <c r="C812" s="4">
        <v>18</v>
      </c>
      <c r="D812" s="8">
        <v>5.44</v>
      </c>
      <c r="E812" s="4">
        <v>17</v>
      </c>
      <c r="F812" s="8">
        <v>7.91</v>
      </c>
      <c r="G812" s="4">
        <v>1</v>
      </c>
      <c r="H812" s="8">
        <v>0.91</v>
      </c>
      <c r="I812" s="4">
        <v>0</v>
      </c>
    </row>
    <row r="813" spans="1:9" x14ac:dyDescent="0.2">
      <c r="A813" s="2">
        <v>5</v>
      </c>
      <c r="B813" s="1" t="s">
        <v>151</v>
      </c>
      <c r="C813" s="4">
        <v>17</v>
      </c>
      <c r="D813" s="8">
        <v>5.14</v>
      </c>
      <c r="E813" s="4">
        <v>17</v>
      </c>
      <c r="F813" s="8">
        <v>7.91</v>
      </c>
      <c r="G813" s="4">
        <v>0</v>
      </c>
      <c r="H813" s="8">
        <v>0</v>
      </c>
      <c r="I813" s="4">
        <v>0</v>
      </c>
    </row>
    <row r="814" spans="1:9" x14ac:dyDescent="0.2">
      <c r="A814" s="2">
        <v>6</v>
      </c>
      <c r="B814" s="1" t="s">
        <v>166</v>
      </c>
      <c r="C814" s="4">
        <v>13</v>
      </c>
      <c r="D814" s="8">
        <v>3.93</v>
      </c>
      <c r="E814" s="4">
        <v>12</v>
      </c>
      <c r="F814" s="8">
        <v>5.58</v>
      </c>
      <c r="G814" s="4">
        <v>1</v>
      </c>
      <c r="H814" s="8">
        <v>0.91</v>
      </c>
      <c r="I814" s="4">
        <v>0</v>
      </c>
    </row>
    <row r="815" spans="1:9" x14ac:dyDescent="0.2">
      <c r="A815" s="2">
        <v>6</v>
      </c>
      <c r="B815" s="1" t="s">
        <v>140</v>
      </c>
      <c r="C815" s="4">
        <v>13</v>
      </c>
      <c r="D815" s="8">
        <v>3.93</v>
      </c>
      <c r="E815" s="4">
        <v>7</v>
      </c>
      <c r="F815" s="8">
        <v>3.26</v>
      </c>
      <c r="G815" s="4">
        <v>6</v>
      </c>
      <c r="H815" s="8">
        <v>5.45</v>
      </c>
      <c r="I815" s="4">
        <v>0</v>
      </c>
    </row>
    <row r="816" spans="1:9" x14ac:dyDescent="0.2">
      <c r="A816" s="2">
        <v>8</v>
      </c>
      <c r="B816" s="1" t="s">
        <v>154</v>
      </c>
      <c r="C816" s="4">
        <v>9</v>
      </c>
      <c r="D816" s="8">
        <v>2.72</v>
      </c>
      <c r="E816" s="4">
        <v>8</v>
      </c>
      <c r="F816" s="8">
        <v>3.72</v>
      </c>
      <c r="G816" s="4">
        <v>1</v>
      </c>
      <c r="H816" s="8">
        <v>0.91</v>
      </c>
      <c r="I816" s="4">
        <v>0</v>
      </c>
    </row>
    <row r="817" spans="1:9" x14ac:dyDescent="0.2">
      <c r="A817" s="2">
        <v>9</v>
      </c>
      <c r="B817" s="1" t="s">
        <v>143</v>
      </c>
      <c r="C817" s="4">
        <v>8</v>
      </c>
      <c r="D817" s="8">
        <v>2.42</v>
      </c>
      <c r="E817" s="4">
        <v>7</v>
      </c>
      <c r="F817" s="8">
        <v>3.26</v>
      </c>
      <c r="G817" s="4">
        <v>1</v>
      </c>
      <c r="H817" s="8">
        <v>0.91</v>
      </c>
      <c r="I817" s="4">
        <v>0</v>
      </c>
    </row>
    <row r="818" spans="1:9" x14ac:dyDescent="0.2">
      <c r="A818" s="2">
        <v>9</v>
      </c>
      <c r="B818" s="1" t="s">
        <v>150</v>
      </c>
      <c r="C818" s="4">
        <v>8</v>
      </c>
      <c r="D818" s="8">
        <v>2.42</v>
      </c>
      <c r="E818" s="4">
        <v>8</v>
      </c>
      <c r="F818" s="8">
        <v>3.72</v>
      </c>
      <c r="G818" s="4">
        <v>0</v>
      </c>
      <c r="H818" s="8">
        <v>0</v>
      </c>
      <c r="I818" s="4">
        <v>0</v>
      </c>
    </row>
    <row r="819" spans="1:9" x14ac:dyDescent="0.2">
      <c r="A819" s="2">
        <v>11</v>
      </c>
      <c r="B819" s="1" t="s">
        <v>141</v>
      </c>
      <c r="C819" s="4">
        <v>7</v>
      </c>
      <c r="D819" s="8">
        <v>2.11</v>
      </c>
      <c r="E819" s="4">
        <v>6</v>
      </c>
      <c r="F819" s="8">
        <v>2.79</v>
      </c>
      <c r="G819" s="4">
        <v>1</v>
      </c>
      <c r="H819" s="8">
        <v>0.91</v>
      </c>
      <c r="I819" s="4">
        <v>0</v>
      </c>
    </row>
    <row r="820" spans="1:9" x14ac:dyDescent="0.2">
      <c r="A820" s="2">
        <v>11</v>
      </c>
      <c r="B820" s="1" t="s">
        <v>145</v>
      </c>
      <c r="C820" s="4">
        <v>7</v>
      </c>
      <c r="D820" s="8">
        <v>2.11</v>
      </c>
      <c r="E820" s="4">
        <v>4</v>
      </c>
      <c r="F820" s="8">
        <v>1.86</v>
      </c>
      <c r="G820" s="4">
        <v>2</v>
      </c>
      <c r="H820" s="8">
        <v>1.82</v>
      </c>
      <c r="I820" s="4">
        <v>0</v>
      </c>
    </row>
    <row r="821" spans="1:9" x14ac:dyDescent="0.2">
      <c r="A821" s="2">
        <v>11</v>
      </c>
      <c r="B821" s="1" t="s">
        <v>209</v>
      </c>
      <c r="C821" s="4">
        <v>7</v>
      </c>
      <c r="D821" s="8">
        <v>2.11</v>
      </c>
      <c r="E821" s="4">
        <v>6</v>
      </c>
      <c r="F821" s="8">
        <v>2.79</v>
      </c>
      <c r="G821" s="4">
        <v>1</v>
      </c>
      <c r="H821" s="8">
        <v>0.91</v>
      </c>
      <c r="I821" s="4">
        <v>0</v>
      </c>
    </row>
    <row r="822" spans="1:9" x14ac:dyDescent="0.2">
      <c r="A822" s="2">
        <v>14</v>
      </c>
      <c r="B822" s="1" t="s">
        <v>136</v>
      </c>
      <c r="C822" s="4">
        <v>6</v>
      </c>
      <c r="D822" s="8">
        <v>1.81</v>
      </c>
      <c r="E822" s="4">
        <v>3</v>
      </c>
      <c r="F822" s="8">
        <v>1.4</v>
      </c>
      <c r="G822" s="4">
        <v>3</v>
      </c>
      <c r="H822" s="8">
        <v>2.73</v>
      </c>
      <c r="I822" s="4">
        <v>0</v>
      </c>
    </row>
    <row r="823" spans="1:9" x14ac:dyDescent="0.2">
      <c r="A823" s="2">
        <v>15</v>
      </c>
      <c r="B823" s="1" t="s">
        <v>168</v>
      </c>
      <c r="C823" s="4">
        <v>5</v>
      </c>
      <c r="D823" s="8">
        <v>1.51</v>
      </c>
      <c r="E823" s="4">
        <v>3</v>
      </c>
      <c r="F823" s="8">
        <v>1.4</v>
      </c>
      <c r="G823" s="4">
        <v>2</v>
      </c>
      <c r="H823" s="8">
        <v>1.82</v>
      </c>
      <c r="I823" s="4">
        <v>0</v>
      </c>
    </row>
    <row r="824" spans="1:9" x14ac:dyDescent="0.2">
      <c r="A824" s="2">
        <v>15</v>
      </c>
      <c r="B824" s="1" t="s">
        <v>153</v>
      </c>
      <c r="C824" s="4">
        <v>5</v>
      </c>
      <c r="D824" s="8">
        <v>1.51</v>
      </c>
      <c r="E824" s="4">
        <v>5</v>
      </c>
      <c r="F824" s="8">
        <v>2.33</v>
      </c>
      <c r="G824" s="4">
        <v>0</v>
      </c>
      <c r="H824" s="8">
        <v>0</v>
      </c>
      <c r="I824" s="4">
        <v>0</v>
      </c>
    </row>
    <row r="825" spans="1:9" x14ac:dyDescent="0.2">
      <c r="A825" s="2">
        <v>17</v>
      </c>
      <c r="B825" s="1" t="s">
        <v>198</v>
      </c>
      <c r="C825" s="4">
        <v>4</v>
      </c>
      <c r="D825" s="8">
        <v>1.21</v>
      </c>
      <c r="E825" s="4">
        <v>0</v>
      </c>
      <c r="F825" s="8">
        <v>0</v>
      </c>
      <c r="G825" s="4">
        <v>4</v>
      </c>
      <c r="H825" s="8">
        <v>3.64</v>
      </c>
      <c r="I825" s="4">
        <v>0</v>
      </c>
    </row>
    <row r="826" spans="1:9" x14ac:dyDescent="0.2">
      <c r="A826" s="2">
        <v>17</v>
      </c>
      <c r="B826" s="1" t="s">
        <v>139</v>
      </c>
      <c r="C826" s="4">
        <v>4</v>
      </c>
      <c r="D826" s="8">
        <v>1.21</v>
      </c>
      <c r="E826" s="4">
        <v>2</v>
      </c>
      <c r="F826" s="8">
        <v>0.93</v>
      </c>
      <c r="G826" s="4">
        <v>2</v>
      </c>
      <c r="H826" s="8">
        <v>1.82</v>
      </c>
      <c r="I826" s="4">
        <v>0</v>
      </c>
    </row>
    <row r="827" spans="1:9" x14ac:dyDescent="0.2">
      <c r="A827" s="2">
        <v>17</v>
      </c>
      <c r="B827" s="1" t="s">
        <v>202</v>
      </c>
      <c r="C827" s="4">
        <v>4</v>
      </c>
      <c r="D827" s="8">
        <v>1.21</v>
      </c>
      <c r="E827" s="4">
        <v>3</v>
      </c>
      <c r="F827" s="8">
        <v>1.4</v>
      </c>
      <c r="G827" s="4">
        <v>1</v>
      </c>
      <c r="H827" s="8">
        <v>0.91</v>
      </c>
      <c r="I827" s="4">
        <v>0</v>
      </c>
    </row>
    <row r="828" spans="1:9" x14ac:dyDescent="0.2">
      <c r="A828" s="2">
        <v>17</v>
      </c>
      <c r="B828" s="1" t="s">
        <v>230</v>
      </c>
      <c r="C828" s="4">
        <v>4</v>
      </c>
      <c r="D828" s="8">
        <v>1.21</v>
      </c>
      <c r="E828" s="4">
        <v>4</v>
      </c>
      <c r="F828" s="8">
        <v>1.86</v>
      </c>
      <c r="G828" s="4">
        <v>0</v>
      </c>
      <c r="H828" s="8">
        <v>0</v>
      </c>
      <c r="I828" s="4">
        <v>0</v>
      </c>
    </row>
    <row r="829" spans="1:9" x14ac:dyDescent="0.2">
      <c r="A829" s="2">
        <v>17</v>
      </c>
      <c r="B829" s="1" t="s">
        <v>170</v>
      </c>
      <c r="C829" s="4">
        <v>4</v>
      </c>
      <c r="D829" s="8">
        <v>1.21</v>
      </c>
      <c r="E829" s="4">
        <v>4</v>
      </c>
      <c r="F829" s="8">
        <v>1.86</v>
      </c>
      <c r="G829" s="4">
        <v>0</v>
      </c>
      <c r="H829" s="8">
        <v>0</v>
      </c>
      <c r="I829" s="4">
        <v>0</v>
      </c>
    </row>
    <row r="830" spans="1:9" x14ac:dyDescent="0.2">
      <c r="A830" s="2">
        <v>17</v>
      </c>
      <c r="B830" s="1" t="s">
        <v>231</v>
      </c>
      <c r="C830" s="4">
        <v>4</v>
      </c>
      <c r="D830" s="8">
        <v>1.21</v>
      </c>
      <c r="E830" s="4">
        <v>3</v>
      </c>
      <c r="F830" s="8">
        <v>1.4</v>
      </c>
      <c r="G830" s="4">
        <v>1</v>
      </c>
      <c r="H830" s="8">
        <v>0.91</v>
      </c>
      <c r="I830" s="4">
        <v>0</v>
      </c>
    </row>
    <row r="831" spans="1:9" x14ac:dyDescent="0.2">
      <c r="A831" s="2">
        <v>17</v>
      </c>
      <c r="B831" s="1" t="s">
        <v>152</v>
      </c>
      <c r="C831" s="4">
        <v>4</v>
      </c>
      <c r="D831" s="8">
        <v>1.21</v>
      </c>
      <c r="E831" s="4">
        <v>4</v>
      </c>
      <c r="F831" s="8">
        <v>1.86</v>
      </c>
      <c r="G831" s="4">
        <v>0</v>
      </c>
      <c r="H831" s="8">
        <v>0</v>
      </c>
      <c r="I831" s="4">
        <v>0</v>
      </c>
    </row>
    <row r="832" spans="1:9" x14ac:dyDescent="0.2">
      <c r="A832" s="1"/>
      <c r="C832" s="4"/>
      <c r="D832" s="8"/>
      <c r="E832" s="4"/>
      <c r="F832" s="8"/>
      <c r="G832" s="4"/>
      <c r="H832" s="8"/>
      <c r="I832" s="4"/>
    </row>
    <row r="833" spans="1:9" x14ac:dyDescent="0.2">
      <c r="A833" s="1" t="s">
        <v>33</v>
      </c>
      <c r="C833" s="4"/>
      <c r="D833" s="8"/>
      <c r="E833" s="4"/>
      <c r="F833" s="8"/>
      <c r="G833" s="4"/>
      <c r="H833" s="8"/>
      <c r="I833" s="4"/>
    </row>
    <row r="834" spans="1:9" x14ac:dyDescent="0.2">
      <c r="A834" s="2">
        <v>1</v>
      </c>
      <c r="B834" s="1" t="s">
        <v>135</v>
      </c>
      <c r="C834" s="4">
        <v>19</v>
      </c>
      <c r="D834" s="8">
        <v>4.83</v>
      </c>
      <c r="E834" s="4">
        <v>4</v>
      </c>
      <c r="F834" s="8">
        <v>2.0099999999999998</v>
      </c>
      <c r="G834" s="4">
        <v>15</v>
      </c>
      <c r="H834" s="8">
        <v>7.81</v>
      </c>
      <c r="I834" s="4">
        <v>0</v>
      </c>
    </row>
    <row r="835" spans="1:9" x14ac:dyDescent="0.2">
      <c r="A835" s="2">
        <v>2</v>
      </c>
      <c r="B835" s="1" t="s">
        <v>141</v>
      </c>
      <c r="C835" s="4">
        <v>18</v>
      </c>
      <c r="D835" s="8">
        <v>4.58</v>
      </c>
      <c r="E835" s="4">
        <v>14</v>
      </c>
      <c r="F835" s="8">
        <v>7.04</v>
      </c>
      <c r="G835" s="4">
        <v>4</v>
      </c>
      <c r="H835" s="8">
        <v>2.08</v>
      </c>
      <c r="I835" s="4">
        <v>0</v>
      </c>
    </row>
    <row r="836" spans="1:9" x14ac:dyDescent="0.2">
      <c r="A836" s="2">
        <v>3</v>
      </c>
      <c r="B836" s="1" t="s">
        <v>150</v>
      </c>
      <c r="C836" s="4">
        <v>14</v>
      </c>
      <c r="D836" s="8">
        <v>3.56</v>
      </c>
      <c r="E836" s="4">
        <v>13</v>
      </c>
      <c r="F836" s="8">
        <v>6.53</v>
      </c>
      <c r="G836" s="4">
        <v>1</v>
      </c>
      <c r="H836" s="8">
        <v>0.52</v>
      </c>
      <c r="I836" s="4">
        <v>0</v>
      </c>
    </row>
    <row r="837" spans="1:9" x14ac:dyDescent="0.2">
      <c r="A837" s="2">
        <v>3</v>
      </c>
      <c r="B837" s="1" t="s">
        <v>151</v>
      </c>
      <c r="C837" s="4">
        <v>14</v>
      </c>
      <c r="D837" s="8">
        <v>3.56</v>
      </c>
      <c r="E837" s="4">
        <v>14</v>
      </c>
      <c r="F837" s="8">
        <v>7.04</v>
      </c>
      <c r="G837" s="4">
        <v>0</v>
      </c>
      <c r="H837" s="8">
        <v>0</v>
      </c>
      <c r="I837" s="4">
        <v>0</v>
      </c>
    </row>
    <row r="838" spans="1:9" x14ac:dyDescent="0.2">
      <c r="A838" s="2">
        <v>5</v>
      </c>
      <c r="B838" s="1" t="s">
        <v>137</v>
      </c>
      <c r="C838" s="4">
        <v>13</v>
      </c>
      <c r="D838" s="8">
        <v>3.31</v>
      </c>
      <c r="E838" s="4">
        <v>8</v>
      </c>
      <c r="F838" s="8">
        <v>4.0199999999999996</v>
      </c>
      <c r="G838" s="4">
        <v>5</v>
      </c>
      <c r="H838" s="8">
        <v>2.6</v>
      </c>
      <c r="I838" s="4">
        <v>0</v>
      </c>
    </row>
    <row r="839" spans="1:9" x14ac:dyDescent="0.2">
      <c r="A839" s="2">
        <v>5</v>
      </c>
      <c r="B839" s="1" t="s">
        <v>154</v>
      </c>
      <c r="C839" s="4">
        <v>13</v>
      </c>
      <c r="D839" s="8">
        <v>3.31</v>
      </c>
      <c r="E839" s="4">
        <v>9</v>
      </c>
      <c r="F839" s="8">
        <v>4.5199999999999996</v>
      </c>
      <c r="G839" s="4">
        <v>4</v>
      </c>
      <c r="H839" s="8">
        <v>2.08</v>
      </c>
      <c r="I839" s="4">
        <v>0</v>
      </c>
    </row>
    <row r="840" spans="1:9" x14ac:dyDescent="0.2">
      <c r="A840" s="2">
        <v>7</v>
      </c>
      <c r="B840" s="1" t="s">
        <v>140</v>
      </c>
      <c r="C840" s="4">
        <v>12</v>
      </c>
      <c r="D840" s="8">
        <v>3.05</v>
      </c>
      <c r="E840" s="4">
        <v>5</v>
      </c>
      <c r="F840" s="8">
        <v>2.5099999999999998</v>
      </c>
      <c r="G840" s="4">
        <v>7</v>
      </c>
      <c r="H840" s="8">
        <v>3.65</v>
      </c>
      <c r="I840" s="4">
        <v>0</v>
      </c>
    </row>
    <row r="841" spans="1:9" x14ac:dyDescent="0.2">
      <c r="A841" s="2">
        <v>8</v>
      </c>
      <c r="B841" s="1" t="s">
        <v>136</v>
      </c>
      <c r="C841" s="4">
        <v>9</v>
      </c>
      <c r="D841" s="8">
        <v>2.29</v>
      </c>
      <c r="E841" s="4">
        <v>0</v>
      </c>
      <c r="F841" s="8">
        <v>0</v>
      </c>
      <c r="G841" s="4">
        <v>9</v>
      </c>
      <c r="H841" s="8">
        <v>4.6900000000000004</v>
      </c>
      <c r="I841" s="4">
        <v>0</v>
      </c>
    </row>
    <row r="842" spans="1:9" x14ac:dyDescent="0.2">
      <c r="A842" s="2">
        <v>9</v>
      </c>
      <c r="B842" s="1" t="s">
        <v>138</v>
      </c>
      <c r="C842" s="4">
        <v>8</v>
      </c>
      <c r="D842" s="8">
        <v>2.04</v>
      </c>
      <c r="E842" s="4">
        <v>3</v>
      </c>
      <c r="F842" s="8">
        <v>1.51</v>
      </c>
      <c r="G842" s="4">
        <v>5</v>
      </c>
      <c r="H842" s="8">
        <v>2.6</v>
      </c>
      <c r="I842" s="4">
        <v>0</v>
      </c>
    </row>
    <row r="843" spans="1:9" x14ac:dyDescent="0.2">
      <c r="A843" s="2">
        <v>10</v>
      </c>
      <c r="B843" s="1" t="s">
        <v>175</v>
      </c>
      <c r="C843" s="4">
        <v>6</v>
      </c>
      <c r="D843" s="8">
        <v>1.53</v>
      </c>
      <c r="E843" s="4">
        <v>4</v>
      </c>
      <c r="F843" s="8">
        <v>2.0099999999999998</v>
      </c>
      <c r="G843" s="4">
        <v>2</v>
      </c>
      <c r="H843" s="8">
        <v>1.04</v>
      </c>
      <c r="I843" s="4">
        <v>0</v>
      </c>
    </row>
    <row r="844" spans="1:9" x14ac:dyDescent="0.2">
      <c r="A844" s="2">
        <v>10</v>
      </c>
      <c r="B844" s="1" t="s">
        <v>162</v>
      </c>
      <c r="C844" s="4">
        <v>6</v>
      </c>
      <c r="D844" s="8">
        <v>1.53</v>
      </c>
      <c r="E844" s="4">
        <v>4</v>
      </c>
      <c r="F844" s="8">
        <v>2.0099999999999998</v>
      </c>
      <c r="G844" s="4">
        <v>2</v>
      </c>
      <c r="H844" s="8">
        <v>1.04</v>
      </c>
      <c r="I844" s="4">
        <v>0</v>
      </c>
    </row>
    <row r="845" spans="1:9" x14ac:dyDescent="0.2">
      <c r="A845" s="2">
        <v>10</v>
      </c>
      <c r="B845" s="1" t="s">
        <v>163</v>
      </c>
      <c r="C845" s="4">
        <v>6</v>
      </c>
      <c r="D845" s="8">
        <v>1.53</v>
      </c>
      <c r="E845" s="4">
        <v>2</v>
      </c>
      <c r="F845" s="8">
        <v>1.01</v>
      </c>
      <c r="G845" s="4">
        <v>4</v>
      </c>
      <c r="H845" s="8">
        <v>2.08</v>
      </c>
      <c r="I845" s="4">
        <v>0</v>
      </c>
    </row>
    <row r="846" spans="1:9" x14ac:dyDescent="0.2">
      <c r="A846" s="2">
        <v>10</v>
      </c>
      <c r="B846" s="1" t="s">
        <v>168</v>
      </c>
      <c r="C846" s="4">
        <v>6</v>
      </c>
      <c r="D846" s="8">
        <v>1.53</v>
      </c>
      <c r="E846" s="4">
        <v>2</v>
      </c>
      <c r="F846" s="8">
        <v>1.01</v>
      </c>
      <c r="G846" s="4">
        <v>4</v>
      </c>
      <c r="H846" s="8">
        <v>2.08</v>
      </c>
      <c r="I846" s="4">
        <v>0</v>
      </c>
    </row>
    <row r="847" spans="1:9" x14ac:dyDescent="0.2">
      <c r="A847" s="2">
        <v>10</v>
      </c>
      <c r="B847" s="1" t="s">
        <v>143</v>
      </c>
      <c r="C847" s="4">
        <v>6</v>
      </c>
      <c r="D847" s="8">
        <v>1.53</v>
      </c>
      <c r="E847" s="4">
        <v>3</v>
      </c>
      <c r="F847" s="8">
        <v>1.51</v>
      </c>
      <c r="G847" s="4">
        <v>3</v>
      </c>
      <c r="H847" s="8">
        <v>1.56</v>
      </c>
      <c r="I847" s="4">
        <v>0</v>
      </c>
    </row>
    <row r="848" spans="1:9" x14ac:dyDescent="0.2">
      <c r="A848" s="2">
        <v>10</v>
      </c>
      <c r="B848" s="1" t="s">
        <v>155</v>
      </c>
      <c r="C848" s="4">
        <v>6</v>
      </c>
      <c r="D848" s="8">
        <v>1.53</v>
      </c>
      <c r="E848" s="4">
        <v>3</v>
      </c>
      <c r="F848" s="8">
        <v>1.51</v>
      </c>
      <c r="G848" s="4">
        <v>3</v>
      </c>
      <c r="H848" s="8">
        <v>1.56</v>
      </c>
      <c r="I848" s="4">
        <v>0</v>
      </c>
    </row>
    <row r="849" spans="1:9" x14ac:dyDescent="0.2">
      <c r="A849" s="2">
        <v>10</v>
      </c>
      <c r="B849" s="1" t="s">
        <v>170</v>
      </c>
      <c r="C849" s="4">
        <v>6</v>
      </c>
      <c r="D849" s="8">
        <v>1.53</v>
      </c>
      <c r="E849" s="4">
        <v>5</v>
      </c>
      <c r="F849" s="8">
        <v>2.5099999999999998</v>
      </c>
      <c r="G849" s="4">
        <v>1</v>
      </c>
      <c r="H849" s="8">
        <v>0.52</v>
      </c>
      <c r="I849" s="4">
        <v>0</v>
      </c>
    </row>
    <row r="850" spans="1:9" x14ac:dyDescent="0.2">
      <c r="A850" s="2">
        <v>10</v>
      </c>
      <c r="B850" s="1" t="s">
        <v>147</v>
      </c>
      <c r="C850" s="4">
        <v>6</v>
      </c>
      <c r="D850" s="8">
        <v>1.53</v>
      </c>
      <c r="E850" s="4">
        <v>6</v>
      </c>
      <c r="F850" s="8">
        <v>3.02</v>
      </c>
      <c r="G850" s="4">
        <v>0</v>
      </c>
      <c r="H850" s="8">
        <v>0</v>
      </c>
      <c r="I850" s="4">
        <v>0</v>
      </c>
    </row>
    <row r="851" spans="1:9" x14ac:dyDescent="0.2">
      <c r="A851" s="2">
        <v>18</v>
      </c>
      <c r="B851" s="1" t="s">
        <v>232</v>
      </c>
      <c r="C851" s="4">
        <v>5</v>
      </c>
      <c r="D851" s="8">
        <v>1.27</v>
      </c>
      <c r="E851" s="4">
        <v>1</v>
      </c>
      <c r="F851" s="8">
        <v>0.5</v>
      </c>
      <c r="G851" s="4">
        <v>4</v>
      </c>
      <c r="H851" s="8">
        <v>2.08</v>
      </c>
      <c r="I851" s="4">
        <v>0</v>
      </c>
    </row>
    <row r="852" spans="1:9" x14ac:dyDescent="0.2">
      <c r="A852" s="2">
        <v>18</v>
      </c>
      <c r="B852" s="1" t="s">
        <v>215</v>
      </c>
      <c r="C852" s="4">
        <v>5</v>
      </c>
      <c r="D852" s="8">
        <v>1.27</v>
      </c>
      <c r="E852" s="4">
        <v>2</v>
      </c>
      <c r="F852" s="8">
        <v>1.01</v>
      </c>
      <c r="G852" s="4">
        <v>3</v>
      </c>
      <c r="H852" s="8">
        <v>1.56</v>
      </c>
      <c r="I852" s="4">
        <v>0</v>
      </c>
    </row>
    <row r="853" spans="1:9" x14ac:dyDescent="0.2">
      <c r="A853" s="2">
        <v>18</v>
      </c>
      <c r="B853" s="1" t="s">
        <v>166</v>
      </c>
      <c r="C853" s="4">
        <v>5</v>
      </c>
      <c r="D853" s="8">
        <v>1.27</v>
      </c>
      <c r="E853" s="4">
        <v>3</v>
      </c>
      <c r="F853" s="8">
        <v>1.51</v>
      </c>
      <c r="G853" s="4">
        <v>2</v>
      </c>
      <c r="H853" s="8">
        <v>1.04</v>
      </c>
      <c r="I853" s="4">
        <v>0</v>
      </c>
    </row>
    <row r="854" spans="1:9" x14ac:dyDescent="0.2">
      <c r="A854" s="2">
        <v>18</v>
      </c>
      <c r="B854" s="1" t="s">
        <v>145</v>
      </c>
      <c r="C854" s="4">
        <v>5</v>
      </c>
      <c r="D854" s="8">
        <v>1.27</v>
      </c>
      <c r="E854" s="4">
        <v>2</v>
      </c>
      <c r="F854" s="8">
        <v>1.01</v>
      </c>
      <c r="G854" s="4">
        <v>3</v>
      </c>
      <c r="H854" s="8">
        <v>1.56</v>
      </c>
      <c r="I854" s="4">
        <v>0</v>
      </c>
    </row>
    <row r="855" spans="1:9" x14ac:dyDescent="0.2">
      <c r="A855" s="2">
        <v>18</v>
      </c>
      <c r="B855" s="1" t="s">
        <v>160</v>
      </c>
      <c r="C855" s="4">
        <v>5</v>
      </c>
      <c r="D855" s="8">
        <v>1.27</v>
      </c>
      <c r="E855" s="4">
        <v>2</v>
      </c>
      <c r="F855" s="8">
        <v>1.01</v>
      </c>
      <c r="G855" s="4">
        <v>3</v>
      </c>
      <c r="H855" s="8">
        <v>1.56</v>
      </c>
      <c r="I855" s="4">
        <v>0</v>
      </c>
    </row>
    <row r="856" spans="1:9" x14ac:dyDescent="0.2">
      <c r="A856" s="2">
        <v>18</v>
      </c>
      <c r="B856" s="1" t="s">
        <v>152</v>
      </c>
      <c r="C856" s="4">
        <v>5</v>
      </c>
      <c r="D856" s="8">
        <v>1.27</v>
      </c>
      <c r="E856" s="4">
        <v>2</v>
      </c>
      <c r="F856" s="8">
        <v>1.01</v>
      </c>
      <c r="G856" s="4">
        <v>3</v>
      </c>
      <c r="H856" s="8">
        <v>1.56</v>
      </c>
      <c r="I856" s="4">
        <v>0</v>
      </c>
    </row>
    <row r="857" spans="1:9" x14ac:dyDescent="0.2">
      <c r="A857" s="2">
        <v>18</v>
      </c>
      <c r="B857" s="1" t="s">
        <v>153</v>
      </c>
      <c r="C857" s="4">
        <v>5</v>
      </c>
      <c r="D857" s="8">
        <v>1.27</v>
      </c>
      <c r="E857" s="4">
        <v>5</v>
      </c>
      <c r="F857" s="8">
        <v>2.5099999999999998</v>
      </c>
      <c r="G857" s="4">
        <v>0</v>
      </c>
      <c r="H857" s="8">
        <v>0</v>
      </c>
      <c r="I857" s="4">
        <v>0</v>
      </c>
    </row>
    <row r="858" spans="1:9" x14ac:dyDescent="0.2">
      <c r="A858" s="1"/>
      <c r="C858" s="4"/>
      <c r="D858" s="8"/>
      <c r="E858" s="4"/>
      <c r="F858" s="8"/>
      <c r="G858" s="4"/>
      <c r="H858" s="8"/>
      <c r="I858" s="4"/>
    </row>
    <row r="859" spans="1:9" x14ac:dyDescent="0.2">
      <c r="A859" s="1" t="s">
        <v>34</v>
      </c>
      <c r="C859" s="4"/>
      <c r="D859" s="8"/>
      <c r="E859" s="4"/>
      <c r="F859" s="8"/>
      <c r="G859" s="4"/>
      <c r="H859" s="8"/>
      <c r="I859" s="4"/>
    </row>
    <row r="860" spans="1:9" x14ac:dyDescent="0.2">
      <c r="A860" s="2">
        <v>1</v>
      </c>
      <c r="B860" s="1" t="s">
        <v>145</v>
      </c>
      <c r="C860" s="4">
        <v>18</v>
      </c>
      <c r="D860" s="8">
        <v>6.5</v>
      </c>
      <c r="E860" s="4">
        <v>16</v>
      </c>
      <c r="F860" s="8">
        <v>18.18</v>
      </c>
      <c r="G860" s="4">
        <v>2</v>
      </c>
      <c r="H860" s="8">
        <v>1.06</v>
      </c>
      <c r="I860" s="4">
        <v>0</v>
      </c>
    </row>
    <row r="861" spans="1:9" x14ac:dyDescent="0.2">
      <c r="A861" s="2">
        <v>2</v>
      </c>
      <c r="B861" s="1" t="s">
        <v>139</v>
      </c>
      <c r="C861" s="4">
        <v>15</v>
      </c>
      <c r="D861" s="8">
        <v>5.42</v>
      </c>
      <c r="E861" s="4">
        <v>2</v>
      </c>
      <c r="F861" s="8">
        <v>2.27</v>
      </c>
      <c r="G861" s="4">
        <v>13</v>
      </c>
      <c r="H861" s="8">
        <v>6.91</v>
      </c>
      <c r="I861" s="4">
        <v>0</v>
      </c>
    </row>
    <row r="862" spans="1:9" x14ac:dyDescent="0.2">
      <c r="A862" s="2">
        <v>3</v>
      </c>
      <c r="B862" s="1" t="s">
        <v>141</v>
      </c>
      <c r="C862" s="4">
        <v>11</v>
      </c>
      <c r="D862" s="8">
        <v>3.97</v>
      </c>
      <c r="E862" s="4">
        <v>4</v>
      </c>
      <c r="F862" s="8">
        <v>4.55</v>
      </c>
      <c r="G862" s="4">
        <v>7</v>
      </c>
      <c r="H862" s="8">
        <v>3.72</v>
      </c>
      <c r="I862" s="4">
        <v>0</v>
      </c>
    </row>
    <row r="863" spans="1:9" x14ac:dyDescent="0.2">
      <c r="A863" s="2">
        <v>4</v>
      </c>
      <c r="B863" s="1" t="s">
        <v>135</v>
      </c>
      <c r="C863" s="4">
        <v>9</v>
      </c>
      <c r="D863" s="8">
        <v>3.25</v>
      </c>
      <c r="E863" s="4">
        <v>1</v>
      </c>
      <c r="F863" s="8">
        <v>1.1399999999999999</v>
      </c>
      <c r="G863" s="4">
        <v>8</v>
      </c>
      <c r="H863" s="8">
        <v>4.26</v>
      </c>
      <c r="I863" s="4">
        <v>0</v>
      </c>
    </row>
    <row r="864" spans="1:9" x14ac:dyDescent="0.2">
      <c r="A864" s="2">
        <v>5</v>
      </c>
      <c r="B864" s="1" t="s">
        <v>219</v>
      </c>
      <c r="C864" s="4">
        <v>8</v>
      </c>
      <c r="D864" s="8">
        <v>2.89</v>
      </c>
      <c r="E864" s="4">
        <v>0</v>
      </c>
      <c r="F864" s="8">
        <v>0</v>
      </c>
      <c r="G864" s="4">
        <v>8</v>
      </c>
      <c r="H864" s="8">
        <v>4.26</v>
      </c>
      <c r="I864" s="4">
        <v>0</v>
      </c>
    </row>
    <row r="865" spans="1:9" x14ac:dyDescent="0.2">
      <c r="A865" s="2">
        <v>5</v>
      </c>
      <c r="B865" s="1" t="s">
        <v>143</v>
      </c>
      <c r="C865" s="4">
        <v>8</v>
      </c>
      <c r="D865" s="8">
        <v>2.89</v>
      </c>
      <c r="E865" s="4">
        <v>3</v>
      </c>
      <c r="F865" s="8">
        <v>3.41</v>
      </c>
      <c r="G865" s="4">
        <v>5</v>
      </c>
      <c r="H865" s="8">
        <v>2.66</v>
      </c>
      <c r="I865" s="4">
        <v>0</v>
      </c>
    </row>
    <row r="866" spans="1:9" x14ac:dyDescent="0.2">
      <c r="A866" s="2">
        <v>7</v>
      </c>
      <c r="B866" s="1" t="s">
        <v>150</v>
      </c>
      <c r="C866" s="4">
        <v>7</v>
      </c>
      <c r="D866" s="8">
        <v>2.5299999999999998</v>
      </c>
      <c r="E866" s="4">
        <v>5</v>
      </c>
      <c r="F866" s="8">
        <v>5.68</v>
      </c>
      <c r="G866" s="4">
        <v>2</v>
      </c>
      <c r="H866" s="8">
        <v>1.06</v>
      </c>
      <c r="I866" s="4">
        <v>0</v>
      </c>
    </row>
    <row r="867" spans="1:9" x14ac:dyDescent="0.2">
      <c r="A867" s="2">
        <v>7</v>
      </c>
      <c r="B867" s="1" t="s">
        <v>151</v>
      </c>
      <c r="C867" s="4">
        <v>7</v>
      </c>
      <c r="D867" s="8">
        <v>2.5299999999999998</v>
      </c>
      <c r="E867" s="4">
        <v>6</v>
      </c>
      <c r="F867" s="8">
        <v>6.82</v>
      </c>
      <c r="G867" s="4">
        <v>1</v>
      </c>
      <c r="H867" s="8">
        <v>0.53</v>
      </c>
      <c r="I867" s="4">
        <v>0</v>
      </c>
    </row>
    <row r="868" spans="1:9" x14ac:dyDescent="0.2">
      <c r="A868" s="2">
        <v>9</v>
      </c>
      <c r="B868" s="1" t="s">
        <v>137</v>
      </c>
      <c r="C868" s="4">
        <v>6</v>
      </c>
      <c r="D868" s="8">
        <v>2.17</v>
      </c>
      <c r="E868" s="4">
        <v>2</v>
      </c>
      <c r="F868" s="8">
        <v>2.27</v>
      </c>
      <c r="G868" s="4">
        <v>4</v>
      </c>
      <c r="H868" s="8">
        <v>2.13</v>
      </c>
      <c r="I868" s="4">
        <v>0</v>
      </c>
    </row>
    <row r="869" spans="1:9" x14ac:dyDescent="0.2">
      <c r="A869" s="2">
        <v>9</v>
      </c>
      <c r="B869" s="1" t="s">
        <v>166</v>
      </c>
      <c r="C869" s="4">
        <v>6</v>
      </c>
      <c r="D869" s="8">
        <v>2.17</v>
      </c>
      <c r="E869" s="4">
        <v>4</v>
      </c>
      <c r="F869" s="8">
        <v>4.55</v>
      </c>
      <c r="G869" s="4">
        <v>2</v>
      </c>
      <c r="H869" s="8">
        <v>1.06</v>
      </c>
      <c r="I869" s="4">
        <v>0</v>
      </c>
    </row>
    <row r="870" spans="1:9" x14ac:dyDescent="0.2">
      <c r="A870" s="2">
        <v>11</v>
      </c>
      <c r="B870" s="1" t="s">
        <v>215</v>
      </c>
      <c r="C870" s="4">
        <v>5</v>
      </c>
      <c r="D870" s="8">
        <v>1.81</v>
      </c>
      <c r="E870" s="4">
        <v>0</v>
      </c>
      <c r="F870" s="8">
        <v>0</v>
      </c>
      <c r="G870" s="4">
        <v>5</v>
      </c>
      <c r="H870" s="8">
        <v>2.66</v>
      </c>
      <c r="I870" s="4">
        <v>0</v>
      </c>
    </row>
    <row r="871" spans="1:9" x14ac:dyDescent="0.2">
      <c r="A871" s="2">
        <v>11</v>
      </c>
      <c r="B871" s="1" t="s">
        <v>233</v>
      </c>
      <c r="C871" s="4">
        <v>5</v>
      </c>
      <c r="D871" s="8">
        <v>1.81</v>
      </c>
      <c r="E871" s="4">
        <v>0</v>
      </c>
      <c r="F871" s="8">
        <v>0</v>
      </c>
      <c r="G871" s="4">
        <v>5</v>
      </c>
      <c r="H871" s="8">
        <v>2.66</v>
      </c>
      <c r="I871" s="4">
        <v>0</v>
      </c>
    </row>
    <row r="872" spans="1:9" x14ac:dyDescent="0.2">
      <c r="A872" s="2">
        <v>11</v>
      </c>
      <c r="B872" s="1" t="s">
        <v>167</v>
      </c>
      <c r="C872" s="4">
        <v>5</v>
      </c>
      <c r="D872" s="8">
        <v>1.81</v>
      </c>
      <c r="E872" s="4">
        <v>2</v>
      </c>
      <c r="F872" s="8">
        <v>2.27</v>
      </c>
      <c r="G872" s="4">
        <v>3</v>
      </c>
      <c r="H872" s="8">
        <v>1.6</v>
      </c>
      <c r="I872" s="4">
        <v>0</v>
      </c>
    </row>
    <row r="873" spans="1:9" x14ac:dyDescent="0.2">
      <c r="A873" s="2">
        <v>11</v>
      </c>
      <c r="B873" s="1" t="s">
        <v>168</v>
      </c>
      <c r="C873" s="4">
        <v>5</v>
      </c>
      <c r="D873" s="8">
        <v>1.81</v>
      </c>
      <c r="E873" s="4">
        <v>0</v>
      </c>
      <c r="F873" s="8">
        <v>0</v>
      </c>
      <c r="G873" s="4">
        <v>5</v>
      </c>
      <c r="H873" s="8">
        <v>2.66</v>
      </c>
      <c r="I873" s="4">
        <v>0</v>
      </c>
    </row>
    <row r="874" spans="1:9" x14ac:dyDescent="0.2">
      <c r="A874" s="2">
        <v>11</v>
      </c>
      <c r="B874" s="1" t="s">
        <v>234</v>
      </c>
      <c r="C874" s="4">
        <v>5</v>
      </c>
      <c r="D874" s="8">
        <v>1.81</v>
      </c>
      <c r="E874" s="4">
        <v>0</v>
      </c>
      <c r="F874" s="8">
        <v>0</v>
      </c>
      <c r="G874" s="4">
        <v>5</v>
      </c>
      <c r="H874" s="8">
        <v>2.66</v>
      </c>
      <c r="I874" s="4">
        <v>0</v>
      </c>
    </row>
    <row r="875" spans="1:9" x14ac:dyDescent="0.2">
      <c r="A875" s="2">
        <v>11</v>
      </c>
      <c r="B875" s="1" t="s">
        <v>147</v>
      </c>
      <c r="C875" s="4">
        <v>5</v>
      </c>
      <c r="D875" s="8">
        <v>1.81</v>
      </c>
      <c r="E875" s="4">
        <v>3</v>
      </c>
      <c r="F875" s="8">
        <v>3.41</v>
      </c>
      <c r="G875" s="4">
        <v>2</v>
      </c>
      <c r="H875" s="8">
        <v>1.06</v>
      </c>
      <c r="I875" s="4">
        <v>0</v>
      </c>
    </row>
    <row r="876" spans="1:9" x14ac:dyDescent="0.2">
      <c r="A876" s="2">
        <v>11</v>
      </c>
      <c r="B876" s="1" t="s">
        <v>171</v>
      </c>
      <c r="C876" s="4">
        <v>5</v>
      </c>
      <c r="D876" s="8">
        <v>1.81</v>
      </c>
      <c r="E876" s="4">
        <v>0</v>
      </c>
      <c r="F876" s="8">
        <v>0</v>
      </c>
      <c r="G876" s="4">
        <v>5</v>
      </c>
      <c r="H876" s="8">
        <v>2.66</v>
      </c>
      <c r="I876" s="4">
        <v>0</v>
      </c>
    </row>
    <row r="877" spans="1:9" x14ac:dyDescent="0.2">
      <c r="A877" s="2">
        <v>18</v>
      </c>
      <c r="B877" s="1" t="s">
        <v>138</v>
      </c>
      <c r="C877" s="4">
        <v>4</v>
      </c>
      <c r="D877" s="8">
        <v>1.44</v>
      </c>
      <c r="E877" s="4">
        <v>2</v>
      </c>
      <c r="F877" s="8">
        <v>2.27</v>
      </c>
      <c r="G877" s="4">
        <v>2</v>
      </c>
      <c r="H877" s="8">
        <v>1.06</v>
      </c>
      <c r="I877" s="4">
        <v>0</v>
      </c>
    </row>
    <row r="878" spans="1:9" x14ac:dyDescent="0.2">
      <c r="A878" s="2">
        <v>18</v>
      </c>
      <c r="B878" s="1" t="s">
        <v>155</v>
      </c>
      <c r="C878" s="4">
        <v>4</v>
      </c>
      <c r="D878" s="8">
        <v>1.44</v>
      </c>
      <c r="E878" s="4">
        <v>1</v>
      </c>
      <c r="F878" s="8">
        <v>1.1399999999999999</v>
      </c>
      <c r="G878" s="4">
        <v>3</v>
      </c>
      <c r="H878" s="8">
        <v>1.6</v>
      </c>
      <c r="I878" s="4">
        <v>0</v>
      </c>
    </row>
    <row r="879" spans="1:9" x14ac:dyDescent="0.2">
      <c r="A879" s="2">
        <v>18</v>
      </c>
      <c r="B879" s="1" t="s">
        <v>148</v>
      </c>
      <c r="C879" s="4">
        <v>4</v>
      </c>
      <c r="D879" s="8">
        <v>1.44</v>
      </c>
      <c r="E879" s="4">
        <v>2</v>
      </c>
      <c r="F879" s="8">
        <v>2.27</v>
      </c>
      <c r="G879" s="4">
        <v>2</v>
      </c>
      <c r="H879" s="8">
        <v>1.06</v>
      </c>
      <c r="I879" s="4">
        <v>0</v>
      </c>
    </row>
    <row r="880" spans="1:9" x14ac:dyDescent="0.2">
      <c r="A880" s="2">
        <v>18</v>
      </c>
      <c r="B880" s="1" t="s">
        <v>152</v>
      </c>
      <c r="C880" s="4">
        <v>4</v>
      </c>
      <c r="D880" s="8">
        <v>1.44</v>
      </c>
      <c r="E880" s="4">
        <v>4</v>
      </c>
      <c r="F880" s="8">
        <v>4.55</v>
      </c>
      <c r="G880" s="4">
        <v>0</v>
      </c>
      <c r="H880" s="8">
        <v>0</v>
      </c>
      <c r="I880" s="4">
        <v>0</v>
      </c>
    </row>
    <row r="881" spans="1:9" x14ac:dyDescent="0.2">
      <c r="A881" s="2">
        <v>18</v>
      </c>
      <c r="B881" s="1" t="s">
        <v>154</v>
      </c>
      <c r="C881" s="4">
        <v>4</v>
      </c>
      <c r="D881" s="8">
        <v>1.44</v>
      </c>
      <c r="E881" s="4">
        <v>3</v>
      </c>
      <c r="F881" s="8">
        <v>3.41</v>
      </c>
      <c r="G881" s="4">
        <v>1</v>
      </c>
      <c r="H881" s="8">
        <v>0.53</v>
      </c>
      <c r="I881" s="4">
        <v>0</v>
      </c>
    </row>
    <row r="882" spans="1:9" x14ac:dyDescent="0.2">
      <c r="A882" s="1"/>
      <c r="C882" s="4"/>
      <c r="D882" s="8"/>
      <c r="E882" s="4"/>
      <c r="F882" s="8"/>
      <c r="G882" s="4"/>
      <c r="H882" s="8"/>
      <c r="I882" s="4"/>
    </row>
    <row r="883" spans="1:9" x14ac:dyDescent="0.2">
      <c r="A883" s="1" t="s">
        <v>35</v>
      </c>
      <c r="C883" s="4"/>
      <c r="D883" s="8"/>
      <c r="E883" s="4"/>
      <c r="F883" s="8"/>
      <c r="G883" s="4"/>
      <c r="H883" s="8"/>
      <c r="I883" s="4"/>
    </row>
    <row r="884" spans="1:9" x14ac:dyDescent="0.2">
      <c r="A884" s="2">
        <v>1</v>
      </c>
      <c r="B884" s="1" t="s">
        <v>135</v>
      </c>
      <c r="C884" s="4">
        <v>28</v>
      </c>
      <c r="D884" s="8">
        <v>5.18</v>
      </c>
      <c r="E884" s="4">
        <v>6</v>
      </c>
      <c r="F884" s="8">
        <v>2.3199999999999998</v>
      </c>
      <c r="G884" s="4">
        <v>22</v>
      </c>
      <c r="H884" s="8">
        <v>7.91</v>
      </c>
      <c r="I884" s="4">
        <v>0</v>
      </c>
    </row>
    <row r="885" spans="1:9" x14ac:dyDescent="0.2">
      <c r="A885" s="2">
        <v>2</v>
      </c>
      <c r="B885" s="1" t="s">
        <v>151</v>
      </c>
      <c r="C885" s="4">
        <v>25</v>
      </c>
      <c r="D885" s="8">
        <v>4.62</v>
      </c>
      <c r="E885" s="4">
        <v>23</v>
      </c>
      <c r="F885" s="8">
        <v>8.8800000000000008</v>
      </c>
      <c r="G885" s="4">
        <v>2</v>
      </c>
      <c r="H885" s="8">
        <v>0.72</v>
      </c>
      <c r="I885" s="4">
        <v>0</v>
      </c>
    </row>
    <row r="886" spans="1:9" x14ac:dyDescent="0.2">
      <c r="A886" s="2">
        <v>3</v>
      </c>
      <c r="B886" s="1" t="s">
        <v>137</v>
      </c>
      <c r="C886" s="4">
        <v>18</v>
      </c>
      <c r="D886" s="8">
        <v>3.33</v>
      </c>
      <c r="E886" s="4">
        <v>9</v>
      </c>
      <c r="F886" s="8">
        <v>3.47</v>
      </c>
      <c r="G886" s="4">
        <v>9</v>
      </c>
      <c r="H886" s="8">
        <v>3.24</v>
      </c>
      <c r="I886" s="4">
        <v>0</v>
      </c>
    </row>
    <row r="887" spans="1:9" x14ac:dyDescent="0.2">
      <c r="A887" s="2">
        <v>4</v>
      </c>
      <c r="B887" s="1" t="s">
        <v>141</v>
      </c>
      <c r="C887" s="4">
        <v>17</v>
      </c>
      <c r="D887" s="8">
        <v>3.14</v>
      </c>
      <c r="E887" s="4">
        <v>13</v>
      </c>
      <c r="F887" s="8">
        <v>5.0199999999999996</v>
      </c>
      <c r="G887" s="4">
        <v>4</v>
      </c>
      <c r="H887" s="8">
        <v>1.44</v>
      </c>
      <c r="I887" s="4">
        <v>0</v>
      </c>
    </row>
    <row r="888" spans="1:9" x14ac:dyDescent="0.2">
      <c r="A888" s="2">
        <v>4</v>
      </c>
      <c r="B888" s="1" t="s">
        <v>153</v>
      </c>
      <c r="C888" s="4">
        <v>17</v>
      </c>
      <c r="D888" s="8">
        <v>3.14</v>
      </c>
      <c r="E888" s="4">
        <v>16</v>
      </c>
      <c r="F888" s="8">
        <v>6.18</v>
      </c>
      <c r="G888" s="4">
        <v>1</v>
      </c>
      <c r="H888" s="8">
        <v>0.36</v>
      </c>
      <c r="I888" s="4">
        <v>0</v>
      </c>
    </row>
    <row r="889" spans="1:9" x14ac:dyDescent="0.2">
      <c r="A889" s="2">
        <v>6</v>
      </c>
      <c r="B889" s="1" t="s">
        <v>152</v>
      </c>
      <c r="C889" s="4">
        <v>16</v>
      </c>
      <c r="D889" s="8">
        <v>2.96</v>
      </c>
      <c r="E889" s="4">
        <v>14</v>
      </c>
      <c r="F889" s="8">
        <v>5.41</v>
      </c>
      <c r="G889" s="4">
        <v>2</v>
      </c>
      <c r="H889" s="8">
        <v>0.72</v>
      </c>
      <c r="I889" s="4">
        <v>0</v>
      </c>
    </row>
    <row r="890" spans="1:9" x14ac:dyDescent="0.2">
      <c r="A890" s="2">
        <v>6</v>
      </c>
      <c r="B890" s="1" t="s">
        <v>154</v>
      </c>
      <c r="C890" s="4">
        <v>16</v>
      </c>
      <c r="D890" s="8">
        <v>2.96</v>
      </c>
      <c r="E890" s="4">
        <v>13</v>
      </c>
      <c r="F890" s="8">
        <v>5.0199999999999996</v>
      </c>
      <c r="G890" s="4">
        <v>3</v>
      </c>
      <c r="H890" s="8">
        <v>1.08</v>
      </c>
      <c r="I890" s="4">
        <v>0</v>
      </c>
    </row>
    <row r="891" spans="1:9" x14ac:dyDescent="0.2">
      <c r="A891" s="2">
        <v>8</v>
      </c>
      <c r="B891" s="1" t="s">
        <v>136</v>
      </c>
      <c r="C891" s="4">
        <v>15</v>
      </c>
      <c r="D891" s="8">
        <v>2.77</v>
      </c>
      <c r="E891" s="4">
        <v>2</v>
      </c>
      <c r="F891" s="8">
        <v>0.77</v>
      </c>
      <c r="G891" s="4">
        <v>13</v>
      </c>
      <c r="H891" s="8">
        <v>4.68</v>
      </c>
      <c r="I891" s="4">
        <v>0</v>
      </c>
    </row>
    <row r="892" spans="1:9" x14ac:dyDescent="0.2">
      <c r="A892" s="2">
        <v>8</v>
      </c>
      <c r="B892" s="1" t="s">
        <v>145</v>
      </c>
      <c r="C892" s="4">
        <v>15</v>
      </c>
      <c r="D892" s="8">
        <v>2.77</v>
      </c>
      <c r="E892" s="4">
        <v>6</v>
      </c>
      <c r="F892" s="8">
        <v>2.3199999999999998</v>
      </c>
      <c r="G892" s="4">
        <v>8</v>
      </c>
      <c r="H892" s="8">
        <v>2.88</v>
      </c>
      <c r="I892" s="4">
        <v>0</v>
      </c>
    </row>
    <row r="893" spans="1:9" x14ac:dyDescent="0.2">
      <c r="A893" s="2">
        <v>10</v>
      </c>
      <c r="B893" s="1" t="s">
        <v>175</v>
      </c>
      <c r="C893" s="4">
        <v>12</v>
      </c>
      <c r="D893" s="8">
        <v>2.2200000000000002</v>
      </c>
      <c r="E893" s="4">
        <v>7</v>
      </c>
      <c r="F893" s="8">
        <v>2.7</v>
      </c>
      <c r="G893" s="4">
        <v>5</v>
      </c>
      <c r="H893" s="8">
        <v>1.8</v>
      </c>
      <c r="I893" s="4">
        <v>0</v>
      </c>
    </row>
    <row r="894" spans="1:9" x14ac:dyDescent="0.2">
      <c r="A894" s="2">
        <v>10</v>
      </c>
      <c r="B894" s="1" t="s">
        <v>138</v>
      </c>
      <c r="C894" s="4">
        <v>12</v>
      </c>
      <c r="D894" s="8">
        <v>2.2200000000000002</v>
      </c>
      <c r="E894" s="4">
        <v>8</v>
      </c>
      <c r="F894" s="8">
        <v>3.09</v>
      </c>
      <c r="G894" s="4">
        <v>4</v>
      </c>
      <c r="H894" s="8">
        <v>1.44</v>
      </c>
      <c r="I894" s="4">
        <v>0</v>
      </c>
    </row>
    <row r="895" spans="1:9" x14ac:dyDescent="0.2">
      <c r="A895" s="2">
        <v>10</v>
      </c>
      <c r="B895" s="1" t="s">
        <v>150</v>
      </c>
      <c r="C895" s="4">
        <v>12</v>
      </c>
      <c r="D895" s="8">
        <v>2.2200000000000002</v>
      </c>
      <c r="E895" s="4">
        <v>12</v>
      </c>
      <c r="F895" s="8">
        <v>4.63</v>
      </c>
      <c r="G895" s="4">
        <v>0</v>
      </c>
      <c r="H895" s="8">
        <v>0</v>
      </c>
      <c r="I895" s="4">
        <v>0</v>
      </c>
    </row>
    <row r="896" spans="1:9" x14ac:dyDescent="0.2">
      <c r="A896" s="2">
        <v>13</v>
      </c>
      <c r="B896" s="1" t="s">
        <v>142</v>
      </c>
      <c r="C896" s="4">
        <v>11</v>
      </c>
      <c r="D896" s="8">
        <v>2.0299999999999998</v>
      </c>
      <c r="E896" s="4">
        <v>3</v>
      </c>
      <c r="F896" s="8">
        <v>1.1599999999999999</v>
      </c>
      <c r="G896" s="4">
        <v>8</v>
      </c>
      <c r="H896" s="8">
        <v>2.88</v>
      </c>
      <c r="I896" s="4">
        <v>0</v>
      </c>
    </row>
    <row r="897" spans="1:9" x14ac:dyDescent="0.2">
      <c r="A897" s="2">
        <v>13</v>
      </c>
      <c r="B897" s="1" t="s">
        <v>168</v>
      </c>
      <c r="C897" s="4">
        <v>11</v>
      </c>
      <c r="D897" s="8">
        <v>2.0299999999999998</v>
      </c>
      <c r="E897" s="4">
        <v>4</v>
      </c>
      <c r="F897" s="8">
        <v>1.54</v>
      </c>
      <c r="G897" s="4">
        <v>7</v>
      </c>
      <c r="H897" s="8">
        <v>2.52</v>
      </c>
      <c r="I897" s="4">
        <v>0</v>
      </c>
    </row>
    <row r="898" spans="1:9" x14ac:dyDescent="0.2">
      <c r="A898" s="2">
        <v>13</v>
      </c>
      <c r="B898" s="1" t="s">
        <v>155</v>
      </c>
      <c r="C898" s="4">
        <v>11</v>
      </c>
      <c r="D898" s="8">
        <v>2.0299999999999998</v>
      </c>
      <c r="E898" s="4">
        <v>3</v>
      </c>
      <c r="F898" s="8">
        <v>1.1599999999999999</v>
      </c>
      <c r="G898" s="4">
        <v>8</v>
      </c>
      <c r="H898" s="8">
        <v>2.88</v>
      </c>
      <c r="I898" s="4">
        <v>0</v>
      </c>
    </row>
    <row r="899" spans="1:9" x14ac:dyDescent="0.2">
      <c r="A899" s="2">
        <v>16</v>
      </c>
      <c r="B899" s="1" t="s">
        <v>162</v>
      </c>
      <c r="C899" s="4">
        <v>10</v>
      </c>
      <c r="D899" s="8">
        <v>1.85</v>
      </c>
      <c r="E899" s="4">
        <v>4</v>
      </c>
      <c r="F899" s="8">
        <v>1.54</v>
      </c>
      <c r="G899" s="4">
        <v>6</v>
      </c>
      <c r="H899" s="8">
        <v>2.16</v>
      </c>
      <c r="I899" s="4">
        <v>0</v>
      </c>
    </row>
    <row r="900" spans="1:9" x14ac:dyDescent="0.2">
      <c r="A900" s="2">
        <v>16</v>
      </c>
      <c r="B900" s="1" t="s">
        <v>163</v>
      </c>
      <c r="C900" s="4">
        <v>10</v>
      </c>
      <c r="D900" s="8">
        <v>1.85</v>
      </c>
      <c r="E900" s="4">
        <v>0</v>
      </c>
      <c r="F900" s="8">
        <v>0</v>
      </c>
      <c r="G900" s="4">
        <v>10</v>
      </c>
      <c r="H900" s="8">
        <v>3.6</v>
      </c>
      <c r="I900" s="4">
        <v>0</v>
      </c>
    </row>
    <row r="901" spans="1:9" x14ac:dyDescent="0.2">
      <c r="A901" s="2">
        <v>18</v>
      </c>
      <c r="B901" s="1" t="s">
        <v>220</v>
      </c>
      <c r="C901" s="4">
        <v>8</v>
      </c>
      <c r="D901" s="8">
        <v>1.48</v>
      </c>
      <c r="E901" s="4">
        <v>5</v>
      </c>
      <c r="F901" s="8">
        <v>1.93</v>
      </c>
      <c r="G901" s="4">
        <v>3</v>
      </c>
      <c r="H901" s="8">
        <v>1.08</v>
      </c>
      <c r="I901" s="4">
        <v>0</v>
      </c>
    </row>
    <row r="902" spans="1:9" x14ac:dyDescent="0.2">
      <c r="A902" s="2">
        <v>19</v>
      </c>
      <c r="B902" s="1" t="s">
        <v>217</v>
      </c>
      <c r="C902" s="4">
        <v>7</v>
      </c>
      <c r="D902" s="8">
        <v>1.29</v>
      </c>
      <c r="E902" s="4">
        <v>0</v>
      </c>
      <c r="F902" s="8">
        <v>0</v>
      </c>
      <c r="G902" s="4">
        <v>7</v>
      </c>
      <c r="H902" s="8">
        <v>2.52</v>
      </c>
      <c r="I902" s="4">
        <v>0</v>
      </c>
    </row>
    <row r="903" spans="1:9" x14ac:dyDescent="0.2">
      <c r="A903" s="2">
        <v>19</v>
      </c>
      <c r="B903" s="1" t="s">
        <v>183</v>
      </c>
      <c r="C903" s="4">
        <v>7</v>
      </c>
      <c r="D903" s="8">
        <v>1.29</v>
      </c>
      <c r="E903" s="4">
        <v>3</v>
      </c>
      <c r="F903" s="8">
        <v>1.1599999999999999</v>
      </c>
      <c r="G903" s="4">
        <v>4</v>
      </c>
      <c r="H903" s="8">
        <v>1.44</v>
      </c>
      <c r="I903" s="4">
        <v>0</v>
      </c>
    </row>
    <row r="904" spans="1:9" x14ac:dyDescent="0.2">
      <c r="A904" s="1"/>
      <c r="C904" s="4"/>
      <c r="D904" s="8"/>
      <c r="E904" s="4"/>
      <c r="F904" s="8"/>
      <c r="G904" s="4"/>
      <c r="H904" s="8"/>
      <c r="I904" s="4"/>
    </row>
    <row r="905" spans="1:9" x14ac:dyDescent="0.2">
      <c r="A905" s="1" t="s">
        <v>36</v>
      </c>
      <c r="C905" s="4"/>
      <c r="D905" s="8"/>
      <c r="E905" s="4"/>
      <c r="F905" s="8"/>
      <c r="G905" s="4"/>
      <c r="H905" s="8"/>
      <c r="I905" s="4"/>
    </row>
    <row r="906" spans="1:9" x14ac:dyDescent="0.2">
      <c r="A906" s="2">
        <v>1</v>
      </c>
      <c r="B906" s="1" t="s">
        <v>151</v>
      </c>
      <c r="C906" s="4">
        <v>14</v>
      </c>
      <c r="D906" s="8">
        <v>4.83</v>
      </c>
      <c r="E906" s="4">
        <v>14</v>
      </c>
      <c r="F906" s="8">
        <v>9.09</v>
      </c>
      <c r="G906" s="4">
        <v>0</v>
      </c>
      <c r="H906" s="8">
        <v>0</v>
      </c>
      <c r="I906" s="4">
        <v>0</v>
      </c>
    </row>
    <row r="907" spans="1:9" x14ac:dyDescent="0.2">
      <c r="A907" s="2">
        <v>2</v>
      </c>
      <c r="B907" s="1" t="s">
        <v>150</v>
      </c>
      <c r="C907" s="4">
        <v>12</v>
      </c>
      <c r="D907" s="8">
        <v>4.1399999999999997</v>
      </c>
      <c r="E907" s="4">
        <v>11</v>
      </c>
      <c r="F907" s="8">
        <v>7.14</v>
      </c>
      <c r="G907" s="4">
        <v>1</v>
      </c>
      <c r="H907" s="8">
        <v>0.74</v>
      </c>
      <c r="I907" s="4">
        <v>0</v>
      </c>
    </row>
    <row r="908" spans="1:9" x14ac:dyDescent="0.2">
      <c r="A908" s="2">
        <v>3</v>
      </c>
      <c r="B908" s="1" t="s">
        <v>135</v>
      </c>
      <c r="C908" s="4">
        <v>10</v>
      </c>
      <c r="D908" s="8">
        <v>3.45</v>
      </c>
      <c r="E908" s="4">
        <v>3</v>
      </c>
      <c r="F908" s="8">
        <v>1.95</v>
      </c>
      <c r="G908" s="4">
        <v>7</v>
      </c>
      <c r="H908" s="8">
        <v>5.15</v>
      </c>
      <c r="I908" s="4">
        <v>0</v>
      </c>
    </row>
    <row r="909" spans="1:9" x14ac:dyDescent="0.2">
      <c r="A909" s="2">
        <v>3</v>
      </c>
      <c r="B909" s="1" t="s">
        <v>154</v>
      </c>
      <c r="C909" s="4">
        <v>10</v>
      </c>
      <c r="D909" s="8">
        <v>3.45</v>
      </c>
      <c r="E909" s="4">
        <v>8</v>
      </c>
      <c r="F909" s="8">
        <v>5.19</v>
      </c>
      <c r="G909" s="4">
        <v>2</v>
      </c>
      <c r="H909" s="8">
        <v>1.47</v>
      </c>
      <c r="I909" s="4">
        <v>0</v>
      </c>
    </row>
    <row r="910" spans="1:9" x14ac:dyDescent="0.2">
      <c r="A910" s="2">
        <v>5</v>
      </c>
      <c r="B910" s="1" t="s">
        <v>136</v>
      </c>
      <c r="C910" s="4">
        <v>9</v>
      </c>
      <c r="D910" s="8">
        <v>3.1</v>
      </c>
      <c r="E910" s="4">
        <v>2</v>
      </c>
      <c r="F910" s="8">
        <v>1.3</v>
      </c>
      <c r="G910" s="4">
        <v>7</v>
      </c>
      <c r="H910" s="8">
        <v>5.15</v>
      </c>
      <c r="I910" s="4">
        <v>0</v>
      </c>
    </row>
    <row r="911" spans="1:9" x14ac:dyDescent="0.2">
      <c r="A911" s="2">
        <v>5</v>
      </c>
      <c r="B911" s="1" t="s">
        <v>140</v>
      </c>
      <c r="C911" s="4">
        <v>9</v>
      </c>
      <c r="D911" s="8">
        <v>3.1</v>
      </c>
      <c r="E911" s="4">
        <v>6</v>
      </c>
      <c r="F911" s="8">
        <v>3.9</v>
      </c>
      <c r="G911" s="4">
        <v>3</v>
      </c>
      <c r="H911" s="8">
        <v>2.21</v>
      </c>
      <c r="I911" s="4">
        <v>0</v>
      </c>
    </row>
    <row r="912" spans="1:9" x14ac:dyDescent="0.2">
      <c r="A912" s="2">
        <v>7</v>
      </c>
      <c r="B912" s="1" t="s">
        <v>162</v>
      </c>
      <c r="C912" s="4">
        <v>7</v>
      </c>
      <c r="D912" s="8">
        <v>2.41</v>
      </c>
      <c r="E912" s="4">
        <v>4</v>
      </c>
      <c r="F912" s="8">
        <v>2.6</v>
      </c>
      <c r="G912" s="4">
        <v>3</v>
      </c>
      <c r="H912" s="8">
        <v>2.21</v>
      </c>
      <c r="I912" s="4">
        <v>0</v>
      </c>
    </row>
    <row r="913" spans="1:9" x14ac:dyDescent="0.2">
      <c r="A913" s="2">
        <v>7</v>
      </c>
      <c r="B913" s="1" t="s">
        <v>163</v>
      </c>
      <c r="C913" s="4">
        <v>7</v>
      </c>
      <c r="D913" s="8">
        <v>2.41</v>
      </c>
      <c r="E913" s="4">
        <v>4</v>
      </c>
      <c r="F913" s="8">
        <v>2.6</v>
      </c>
      <c r="G913" s="4">
        <v>3</v>
      </c>
      <c r="H913" s="8">
        <v>2.21</v>
      </c>
      <c r="I913" s="4">
        <v>0</v>
      </c>
    </row>
    <row r="914" spans="1:9" x14ac:dyDescent="0.2">
      <c r="A914" s="2">
        <v>7</v>
      </c>
      <c r="B914" s="1" t="s">
        <v>141</v>
      </c>
      <c r="C914" s="4">
        <v>7</v>
      </c>
      <c r="D914" s="8">
        <v>2.41</v>
      </c>
      <c r="E914" s="4">
        <v>5</v>
      </c>
      <c r="F914" s="8">
        <v>3.25</v>
      </c>
      <c r="G914" s="4">
        <v>2</v>
      </c>
      <c r="H914" s="8">
        <v>1.47</v>
      </c>
      <c r="I914" s="4">
        <v>0</v>
      </c>
    </row>
    <row r="915" spans="1:9" x14ac:dyDescent="0.2">
      <c r="A915" s="2">
        <v>7</v>
      </c>
      <c r="B915" s="1" t="s">
        <v>143</v>
      </c>
      <c r="C915" s="4">
        <v>7</v>
      </c>
      <c r="D915" s="8">
        <v>2.41</v>
      </c>
      <c r="E915" s="4">
        <v>6</v>
      </c>
      <c r="F915" s="8">
        <v>3.9</v>
      </c>
      <c r="G915" s="4">
        <v>1</v>
      </c>
      <c r="H915" s="8">
        <v>0.74</v>
      </c>
      <c r="I915" s="4">
        <v>0</v>
      </c>
    </row>
    <row r="916" spans="1:9" x14ac:dyDescent="0.2">
      <c r="A916" s="2">
        <v>7</v>
      </c>
      <c r="B916" s="1" t="s">
        <v>145</v>
      </c>
      <c r="C916" s="4">
        <v>7</v>
      </c>
      <c r="D916" s="8">
        <v>2.41</v>
      </c>
      <c r="E916" s="4">
        <v>5</v>
      </c>
      <c r="F916" s="8">
        <v>3.25</v>
      </c>
      <c r="G916" s="4">
        <v>2</v>
      </c>
      <c r="H916" s="8">
        <v>1.47</v>
      </c>
      <c r="I916" s="4">
        <v>0</v>
      </c>
    </row>
    <row r="917" spans="1:9" x14ac:dyDescent="0.2">
      <c r="A917" s="2">
        <v>7</v>
      </c>
      <c r="B917" s="1" t="s">
        <v>147</v>
      </c>
      <c r="C917" s="4">
        <v>7</v>
      </c>
      <c r="D917" s="8">
        <v>2.41</v>
      </c>
      <c r="E917" s="4">
        <v>5</v>
      </c>
      <c r="F917" s="8">
        <v>3.25</v>
      </c>
      <c r="G917" s="4">
        <v>2</v>
      </c>
      <c r="H917" s="8">
        <v>1.47</v>
      </c>
      <c r="I917" s="4">
        <v>0</v>
      </c>
    </row>
    <row r="918" spans="1:9" x14ac:dyDescent="0.2">
      <c r="A918" s="2">
        <v>13</v>
      </c>
      <c r="B918" s="1" t="s">
        <v>137</v>
      </c>
      <c r="C918" s="4">
        <v>6</v>
      </c>
      <c r="D918" s="8">
        <v>2.0699999999999998</v>
      </c>
      <c r="E918" s="4">
        <v>0</v>
      </c>
      <c r="F918" s="8">
        <v>0</v>
      </c>
      <c r="G918" s="4">
        <v>6</v>
      </c>
      <c r="H918" s="8">
        <v>4.41</v>
      </c>
      <c r="I918" s="4">
        <v>0</v>
      </c>
    </row>
    <row r="919" spans="1:9" x14ac:dyDescent="0.2">
      <c r="A919" s="2">
        <v>13</v>
      </c>
      <c r="B919" s="1" t="s">
        <v>195</v>
      </c>
      <c r="C919" s="4">
        <v>6</v>
      </c>
      <c r="D919" s="8">
        <v>2.0699999999999998</v>
      </c>
      <c r="E919" s="4">
        <v>2</v>
      </c>
      <c r="F919" s="8">
        <v>1.3</v>
      </c>
      <c r="G919" s="4">
        <v>4</v>
      </c>
      <c r="H919" s="8">
        <v>2.94</v>
      </c>
      <c r="I919" s="4">
        <v>0</v>
      </c>
    </row>
    <row r="920" spans="1:9" x14ac:dyDescent="0.2">
      <c r="A920" s="2">
        <v>15</v>
      </c>
      <c r="B920" s="1" t="s">
        <v>235</v>
      </c>
      <c r="C920" s="4">
        <v>5</v>
      </c>
      <c r="D920" s="8">
        <v>1.72</v>
      </c>
      <c r="E920" s="4">
        <v>2</v>
      </c>
      <c r="F920" s="8">
        <v>1.3</v>
      </c>
      <c r="G920" s="4">
        <v>3</v>
      </c>
      <c r="H920" s="8">
        <v>2.21</v>
      </c>
      <c r="I920" s="4">
        <v>0</v>
      </c>
    </row>
    <row r="921" spans="1:9" x14ac:dyDescent="0.2">
      <c r="A921" s="2">
        <v>15</v>
      </c>
      <c r="B921" s="1" t="s">
        <v>220</v>
      </c>
      <c r="C921" s="4">
        <v>5</v>
      </c>
      <c r="D921" s="8">
        <v>1.72</v>
      </c>
      <c r="E921" s="4">
        <v>4</v>
      </c>
      <c r="F921" s="8">
        <v>2.6</v>
      </c>
      <c r="G921" s="4">
        <v>1</v>
      </c>
      <c r="H921" s="8">
        <v>0.74</v>
      </c>
      <c r="I921" s="4">
        <v>0</v>
      </c>
    </row>
    <row r="922" spans="1:9" x14ac:dyDescent="0.2">
      <c r="A922" s="2">
        <v>15</v>
      </c>
      <c r="B922" s="1" t="s">
        <v>164</v>
      </c>
      <c r="C922" s="4">
        <v>5</v>
      </c>
      <c r="D922" s="8">
        <v>1.72</v>
      </c>
      <c r="E922" s="4">
        <v>0</v>
      </c>
      <c r="F922" s="8">
        <v>0</v>
      </c>
      <c r="G922" s="4">
        <v>5</v>
      </c>
      <c r="H922" s="8">
        <v>3.68</v>
      </c>
      <c r="I922" s="4">
        <v>0</v>
      </c>
    </row>
    <row r="923" spans="1:9" x14ac:dyDescent="0.2">
      <c r="A923" s="2">
        <v>15</v>
      </c>
      <c r="B923" s="1" t="s">
        <v>215</v>
      </c>
      <c r="C923" s="4">
        <v>5</v>
      </c>
      <c r="D923" s="8">
        <v>1.72</v>
      </c>
      <c r="E923" s="4">
        <v>1</v>
      </c>
      <c r="F923" s="8">
        <v>0.65</v>
      </c>
      <c r="G923" s="4">
        <v>4</v>
      </c>
      <c r="H923" s="8">
        <v>2.94</v>
      </c>
      <c r="I923" s="4">
        <v>0</v>
      </c>
    </row>
    <row r="924" spans="1:9" x14ac:dyDescent="0.2">
      <c r="A924" s="2">
        <v>15</v>
      </c>
      <c r="B924" s="1" t="s">
        <v>200</v>
      </c>
      <c r="C924" s="4">
        <v>5</v>
      </c>
      <c r="D924" s="8">
        <v>1.72</v>
      </c>
      <c r="E924" s="4">
        <v>3</v>
      </c>
      <c r="F924" s="8">
        <v>1.95</v>
      </c>
      <c r="G924" s="4">
        <v>2</v>
      </c>
      <c r="H924" s="8">
        <v>1.47</v>
      </c>
      <c r="I924" s="4">
        <v>0</v>
      </c>
    </row>
    <row r="925" spans="1:9" x14ac:dyDescent="0.2">
      <c r="A925" s="2">
        <v>15</v>
      </c>
      <c r="B925" s="1" t="s">
        <v>167</v>
      </c>
      <c r="C925" s="4">
        <v>5</v>
      </c>
      <c r="D925" s="8">
        <v>1.72</v>
      </c>
      <c r="E925" s="4">
        <v>4</v>
      </c>
      <c r="F925" s="8">
        <v>2.6</v>
      </c>
      <c r="G925" s="4">
        <v>1</v>
      </c>
      <c r="H925" s="8">
        <v>0.74</v>
      </c>
      <c r="I925" s="4">
        <v>0</v>
      </c>
    </row>
    <row r="926" spans="1:9" x14ac:dyDescent="0.2">
      <c r="A926" s="2">
        <v>15</v>
      </c>
      <c r="B926" s="1" t="s">
        <v>168</v>
      </c>
      <c r="C926" s="4">
        <v>5</v>
      </c>
      <c r="D926" s="8">
        <v>1.72</v>
      </c>
      <c r="E926" s="4">
        <v>2</v>
      </c>
      <c r="F926" s="8">
        <v>1.3</v>
      </c>
      <c r="G926" s="4">
        <v>3</v>
      </c>
      <c r="H926" s="8">
        <v>2.21</v>
      </c>
      <c r="I926" s="4">
        <v>0</v>
      </c>
    </row>
    <row r="927" spans="1:9" x14ac:dyDescent="0.2">
      <c r="A927" s="2">
        <v>15</v>
      </c>
      <c r="B927" s="1" t="s">
        <v>176</v>
      </c>
      <c r="C927" s="4">
        <v>5</v>
      </c>
      <c r="D927" s="8">
        <v>1.72</v>
      </c>
      <c r="E927" s="4">
        <v>0</v>
      </c>
      <c r="F927" s="8">
        <v>0</v>
      </c>
      <c r="G927" s="4">
        <v>5</v>
      </c>
      <c r="H927" s="8">
        <v>3.68</v>
      </c>
      <c r="I927" s="4">
        <v>0</v>
      </c>
    </row>
    <row r="928" spans="1:9" x14ac:dyDescent="0.2">
      <c r="A928" s="1"/>
      <c r="C928" s="4"/>
      <c r="D928" s="8"/>
      <c r="E928" s="4"/>
      <c r="F928" s="8"/>
      <c r="G928" s="4"/>
      <c r="H928" s="8"/>
      <c r="I928" s="4"/>
    </row>
    <row r="929" spans="1:9" x14ac:dyDescent="0.2">
      <c r="A929" s="1" t="s">
        <v>37</v>
      </c>
      <c r="C929" s="4"/>
      <c r="D929" s="8"/>
      <c r="E929" s="4"/>
      <c r="F929" s="8"/>
      <c r="G929" s="4"/>
      <c r="H929" s="8"/>
      <c r="I929" s="4"/>
    </row>
    <row r="930" spans="1:9" x14ac:dyDescent="0.2">
      <c r="A930" s="2">
        <v>1</v>
      </c>
      <c r="B930" s="1" t="s">
        <v>140</v>
      </c>
      <c r="C930" s="4">
        <v>21</v>
      </c>
      <c r="D930" s="8">
        <v>5.29</v>
      </c>
      <c r="E930" s="4">
        <v>15</v>
      </c>
      <c r="F930" s="8">
        <v>6.36</v>
      </c>
      <c r="G930" s="4">
        <v>5</v>
      </c>
      <c r="H930" s="8">
        <v>3.29</v>
      </c>
      <c r="I930" s="4">
        <v>1</v>
      </c>
    </row>
    <row r="931" spans="1:9" x14ac:dyDescent="0.2">
      <c r="A931" s="2">
        <v>2</v>
      </c>
      <c r="B931" s="1" t="s">
        <v>150</v>
      </c>
      <c r="C931" s="4">
        <v>19</v>
      </c>
      <c r="D931" s="8">
        <v>4.79</v>
      </c>
      <c r="E931" s="4">
        <v>19</v>
      </c>
      <c r="F931" s="8">
        <v>8.0500000000000007</v>
      </c>
      <c r="G931" s="4">
        <v>0</v>
      </c>
      <c r="H931" s="8">
        <v>0</v>
      </c>
      <c r="I931" s="4">
        <v>0</v>
      </c>
    </row>
    <row r="932" spans="1:9" x14ac:dyDescent="0.2">
      <c r="A932" s="2">
        <v>3</v>
      </c>
      <c r="B932" s="1" t="s">
        <v>148</v>
      </c>
      <c r="C932" s="4">
        <v>17</v>
      </c>
      <c r="D932" s="8">
        <v>4.28</v>
      </c>
      <c r="E932" s="4">
        <v>15</v>
      </c>
      <c r="F932" s="8">
        <v>6.36</v>
      </c>
      <c r="G932" s="4">
        <v>2</v>
      </c>
      <c r="H932" s="8">
        <v>1.32</v>
      </c>
      <c r="I932" s="4">
        <v>0</v>
      </c>
    </row>
    <row r="933" spans="1:9" x14ac:dyDescent="0.2">
      <c r="A933" s="2">
        <v>4</v>
      </c>
      <c r="B933" s="1" t="s">
        <v>147</v>
      </c>
      <c r="C933" s="4">
        <v>16</v>
      </c>
      <c r="D933" s="8">
        <v>4.03</v>
      </c>
      <c r="E933" s="4">
        <v>15</v>
      </c>
      <c r="F933" s="8">
        <v>6.36</v>
      </c>
      <c r="G933" s="4">
        <v>1</v>
      </c>
      <c r="H933" s="8">
        <v>0.66</v>
      </c>
      <c r="I933" s="4">
        <v>0</v>
      </c>
    </row>
    <row r="934" spans="1:9" x14ac:dyDescent="0.2">
      <c r="A934" s="2">
        <v>4</v>
      </c>
      <c r="B934" s="1" t="s">
        <v>151</v>
      </c>
      <c r="C934" s="4">
        <v>16</v>
      </c>
      <c r="D934" s="8">
        <v>4.03</v>
      </c>
      <c r="E934" s="4">
        <v>15</v>
      </c>
      <c r="F934" s="8">
        <v>6.36</v>
      </c>
      <c r="G934" s="4">
        <v>1</v>
      </c>
      <c r="H934" s="8">
        <v>0.66</v>
      </c>
      <c r="I934" s="4">
        <v>0</v>
      </c>
    </row>
    <row r="935" spans="1:9" x14ac:dyDescent="0.2">
      <c r="A935" s="2">
        <v>6</v>
      </c>
      <c r="B935" s="1" t="s">
        <v>135</v>
      </c>
      <c r="C935" s="4">
        <v>13</v>
      </c>
      <c r="D935" s="8">
        <v>3.27</v>
      </c>
      <c r="E935" s="4">
        <v>5</v>
      </c>
      <c r="F935" s="8">
        <v>2.12</v>
      </c>
      <c r="G935" s="4">
        <v>8</v>
      </c>
      <c r="H935" s="8">
        <v>5.26</v>
      </c>
      <c r="I935" s="4">
        <v>0</v>
      </c>
    </row>
    <row r="936" spans="1:9" x14ac:dyDescent="0.2">
      <c r="A936" s="2">
        <v>6</v>
      </c>
      <c r="B936" s="1" t="s">
        <v>145</v>
      </c>
      <c r="C936" s="4">
        <v>13</v>
      </c>
      <c r="D936" s="8">
        <v>3.27</v>
      </c>
      <c r="E936" s="4">
        <v>11</v>
      </c>
      <c r="F936" s="8">
        <v>4.66</v>
      </c>
      <c r="G936" s="4">
        <v>2</v>
      </c>
      <c r="H936" s="8">
        <v>1.32</v>
      </c>
      <c r="I936" s="4">
        <v>0</v>
      </c>
    </row>
    <row r="937" spans="1:9" x14ac:dyDescent="0.2">
      <c r="A937" s="2">
        <v>8</v>
      </c>
      <c r="B937" s="1" t="s">
        <v>141</v>
      </c>
      <c r="C937" s="4">
        <v>12</v>
      </c>
      <c r="D937" s="8">
        <v>3.02</v>
      </c>
      <c r="E937" s="4">
        <v>6</v>
      </c>
      <c r="F937" s="8">
        <v>2.54</v>
      </c>
      <c r="G937" s="4">
        <v>6</v>
      </c>
      <c r="H937" s="8">
        <v>3.95</v>
      </c>
      <c r="I937" s="4">
        <v>0</v>
      </c>
    </row>
    <row r="938" spans="1:9" x14ac:dyDescent="0.2">
      <c r="A938" s="2">
        <v>9</v>
      </c>
      <c r="B938" s="1" t="s">
        <v>170</v>
      </c>
      <c r="C938" s="4">
        <v>11</v>
      </c>
      <c r="D938" s="8">
        <v>2.77</v>
      </c>
      <c r="E938" s="4">
        <v>8</v>
      </c>
      <c r="F938" s="8">
        <v>3.39</v>
      </c>
      <c r="G938" s="4">
        <v>2</v>
      </c>
      <c r="H938" s="8">
        <v>1.32</v>
      </c>
      <c r="I938" s="4">
        <v>1</v>
      </c>
    </row>
    <row r="939" spans="1:9" x14ac:dyDescent="0.2">
      <c r="A939" s="2">
        <v>9</v>
      </c>
      <c r="B939" s="1" t="s">
        <v>149</v>
      </c>
      <c r="C939" s="4">
        <v>11</v>
      </c>
      <c r="D939" s="8">
        <v>2.77</v>
      </c>
      <c r="E939" s="4">
        <v>10</v>
      </c>
      <c r="F939" s="8">
        <v>4.24</v>
      </c>
      <c r="G939" s="4">
        <v>1</v>
      </c>
      <c r="H939" s="8">
        <v>0.66</v>
      </c>
      <c r="I939" s="4">
        <v>0</v>
      </c>
    </row>
    <row r="940" spans="1:9" x14ac:dyDescent="0.2">
      <c r="A940" s="2">
        <v>11</v>
      </c>
      <c r="B940" s="1" t="s">
        <v>168</v>
      </c>
      <c r="C940" s="4">
        <v>10</v>
      </c>
      <c r="D940" s="8">
        <v>2.52</v>
      </c>
      <c r="E940" s="4">
        <v>0</v>
      </c>
      <c r="F940" s="8">
        <v>0</v>
      </c>
      <c r="G940" s="4">
        <v>10</v>
      </c>
      <c r="H940" s="8">
        <v>6.58</v>
      </c>
      <c r="I940" s="4">
        <v>0</v>
      </c>
    </row>
    <row r="941" spans="1:9" x14ac:dyDescent="0.2">
      <c r="A941" s="2">
        <v>12</v>
      </c>
      <c r="B941" s="1" t="s">
        <v>143</v>
      </c>
      <c r="C941" s="4">
        <v>9</v>
      </c>
      <c r="D941" s="8">
        <v>2.27</v>
      </c>
      <c r="E941" s="4">
        <v>6</v>
      </c>
      <c r="F941" s="8">
        <v>2.54</v>
      </c>
      <c r="G941" s="4">
        <v>3</v>
      </c>
      <c r="H941" s="8">
        <v>1.97</v>
      </c>
      <c r="I941" s="4">
        <v>0</v>
      </c>
    </row>
    <row r="942" spans="1:9" x14ac:dyDescent="0.2">
      <c r="A942" s="2">
        <v>13</v>
      </c>
      <c r="B942" s="1" t="s">
        <v>174</v>
      </c>
      <c r="C942" s="4">
        <v>8</v>
      </c>
      <c r="D942" s="8">
        <v>2.02</v>
      </c>
      <c r="E942" s="4">
        <v>7</v>
      </c>
      <c r="F942" s="8">
        <v>2.97</v>
      </c>
      <c r="G942" s="4">
        <v>1</v>
      </c>
      <c r="H942" s="8">
        <v>0.66</v>
      </c>
      <c r="I942" s="4">
        <v>0</v>
      </c>
    </row>
    <row r="943" spans="1:9" x14ac:dyDescent="0.2">
      <c r="A943" s="2">
        <v>13</v>
      </c>
      <c r="B943" s="1" t="s">
        <v>154</v>
      </c>
      <c r="C943" s="4">
        <v>8</v>
      </c>
      <c r="D943" s="8">
        <v>2.02</v>
      </c>
      <c r="E943" s="4">
        <v>5</v>
      </c>
      <c r="F943" s="8">
        <v>2.12</v>
      </c>
      <c r="G943" s="4">
        <v>3</v>
      </c>
      <c r="H943" s="8">
        <v>1.97</v>
      </c>
      <c r="I943" s="4">
        <v>0</v>
      </c>
    </row>
    <row r="944" spans="1:9" x14ac:dyDescent="0.2">
      <c r="A944" s="2">
        <v>15</v>
      </c>
      <c r="B944" s="1" t="s">
        <v>136</v>
      </c>
      <c r="C944" s="4">
        <v>7</v>
      </c>
      <c r="D944" s="8">
        <v>1.76</v>
      </c>
      <c r="E944" s="4">
        <v>0</v>
      </c>
      <c r="F944" s="8">
        <v>0</v>
      </c>
      <c r="G944" s="4">
        <v>7</v>
      </c>
      <c r="H944" s="8">
        <v>4.6100000000000003</v>
      </c>
      <c r="I944" s="4">
        <v>0</v>
      </c>
    </row>
    <row r="945" spans="1:9" x14ac:dyDescent="0.2">
      <c r="A945" s="2">
        <v>15</v>
      </c>
      <c r="B945" s="1" t="s">
        <v>137</v>
      </c>
      <c r="C945" s="4">
        <v>7</v>
      </c>
      <c r="D945" s="8">
        <v>1.76</v>
      </c>
      <c r="E945" s="4">
        <v>5</v>
      </c>
      <c r="F945" s="8">
        <v>2.12</v>
      </c>
      <c r="G945" s="4">
        <v>2</v>
      </c>
      <c r="H945" s="8">
        <v>1.32</v>
      </c>
      <c r="I945" s="4">
        <v>0</v>
      </c>
    </row>
    <row r="946" spans="1:9" x14ac:dyDescent="0.2">
      <c r="A946" s="2">
        <v>15</v>
      </c>
      <c r="B946" s="1" t="s">
        <v>207</v>
      </c>
      <c r="C946" s="4">
        <v>7</v>
      </c>
      <c r="D946" s="8">
        <v>1.76</v>
      </c>
      <c r="E946" s="4">
        <v>7</v>
      </c>
      <c r="F946" s="8">
        <v>2.97</v>
      </c>
      <c r="G946" s="4">
        <v>0</v>
      </c>
      <c r="H946" s="8">
        <v>0</v>
      </c>
      <c r="I946" s="4">
        <v>0</v>
      </c>
    </row>
    <row r="947" spans="1:9" x14ac:dyDescent="0.2">
      <c r="A947" s="2">
        <v>18</v>
      </c>
      <c r="B947" s="1" t="s">
        <v>204</v>
      </c>
      <c r="C947" s="4">
        <v>6</v>
      </c>
      <c r="D947" s="8">
        <v>1.51</v>
      </c>
      <c r="E947" s="4">
        <v>2</v>
      </c>
      <c r="F947" s="8">
        <v>0.85</v>
      </c>
      <c r="G947" s="4">
        <v>4</v>
      </c>
      <c r="H947" s="8">
        <v>2.63</v>
      </c>
      <c r="I947" s="4">
        <v>0</v>
      </c>
    </row>
    <row r="948" spans="1:9" x14ac:dyDescent="0.2">
      <c r="A948" s="2">
        <v>18</v>
      </c>
      <c r="B948" s="1" t="s">
        <v>180</v>
      </c>
      <c r="C948" s="4">
        <v>6</v>
      </c>
      <c r="D948" s="8">
        <v>1.51</v>
      </c>
      <c r="E948" s="4">
        <v>0</v>
      </c>
      <c r="F948" s="8">
        <v>0</v>
      </c>
      <c r="G948" s="4">
        <v>6</v>
      </c>
      <c r="H948" s="8">
        <v>3.95</v>
      </c>
      <c r="I948" s="4">
        <v>0</v>
      </c>
    </row>
    <row r="949" spans="1:9" x14ac:dyDescent="0.2">
      <c r="A949" s="2">
        <v>20</v>
      </c>
      <c r="B949" s="1" t="s">
        <v>163</v>
      </c>
      <c r="C949" s="4">
        <v>5</v>
      </c>
      <c r="D949" s="8">
        <v>1.26</v>
      </c>
      <c r="E949" s="4">
        <v>4</v>
      </c>
      <c r="F949" s="8">
        <v>1.69</v>
      </c>
      <c r="G949" s="4">
        <v>1</v>
      </c>
      <c r="H949" s="8">
        <v>0.66</v>
      </c>
      <c r="I949" s="4">
        <v>0</v>
      </c>
    </row>
    <row r="950" spans="1:9" x14ac:dyDescent="0.2">
      <c r="A950" s="2">
        <v>20</v>
      </c>
      <c r="B950" s="1" t="s">
        <v>164</v>
      </c>
      <c r="C950" s="4">
        <v>5</v>
      </c>
      <c r="D950" s="8">
        <v>1.26</v>
      </c>
      <c r="E950" s="4">
        <v>1</v>
      </c>
      <c r="F950" s="8">
        <v>0.42</v>
      </c>
      <c r="G950" s="4">
        <v>4</v>
      </c>
      <c r="H950" s="8">
        <v>2.63</v>
      </c>
      <c r="I950" s="4">
        <v>0</v>
      </c>
    </row>
    <row r="951" spans="1:9" x14ac:dyDescent="0.2">
      <c r="A951" s="2">
        <v>20</v>
      </c>
      <c r="B951" s="1" t="s">
        <v>215</v>
      </c>
      <c r="C951" s="4">
        <v>5</v>
      </c>
      <c r="D951" s="8">
        <v>1.26</v>
      </c>
      <c r="E951" s="4">
        <v>1</v>
      </c>
      <c r="F951" s="8">
        <v>0.42</v>
      </c>
      <c r="G951" s="4">
        <v>4</v>
      </c>
      <c r="H951" s="8">
        <v>2.63</v>
      </c>
      <c r="I951" s="4">
        <v>0</v>
      </c>
    </row>
    <row r="952" spans="1:9" x14ac:dyDescent="0.2">
      <c r="A952" s="2">
        <v>20</v>
      </c>
      <c r="B952" s="1" t="s">
        <v>201</v>
      </c>
      <c r="C952" s="4">
        <v>5</v>
      </c>
      <c r="D952" s="8">
        <v>1.26</v>
      </c>
      <c r="E952" s="4">
        <v>3</v>
      </c>
      <c r="F952" s="8">
        <v>1.27</v>
      </c>
      <c r="G952" s="4">
        <v>2</v>
      </c>
      <c r="H952" s="8">
        <v>1.32</v>
      </c>
      <c r="I952" s="4">
        <v>0</v>
      </c>
    </row>
    <row r="953" spans="1:9" x14ac:dyDescent="0.2">
      <c r="A953" s="2">
        <v>20</v>
      </c>
      <c r="B953" s="1" t="s">
        <v>167</v>
      </c>
      <c r="C953" s="4">
        <v>5</v>
      </c>
      <c r="D953" s="8">
        <v>1.26</v>
      </c>
      <c r="E953" s="4">
        <v>4</v>
      </c>
      <c r="F953" s="8">
        <v>1.69</v>
      </c>
      <c r="G953" s="4">
        <v>1</v>
      </c>
      <c r="H953" s="8">
        <v>0.66</v>
      </c>
      <c r="I953" s="4">
        <v>0</v>
      </c>
    </row>
    <row r="954" spans="1:9" x14ac:dyDescent="0.2">
      <c r="A954" s="2">
        <v>20</v>
      </c>
      <c r="B954" s="1" t="s">
        <v>181</v>
      </c>
      <c r="C954" s="4">
        <v>5</v>
      </c>
      <c r="D954" s="8">
        <v>1.26</v>
      </c>
      <c r="E954" s="4">
        <v>3</v>
      </c>
      <c r="F954" s="8">
        <v>1.27</v>
      </c>
      <c r="G954" s="4">
        <v>2</v>
      </c>
      <c r="H954" s="8">
        <v>1.32</v>
      </c>
      <c r="I954" s="4">
        <v>0</v>
      </c>
    </row>
    <row r="955" spans="1:9" x14ac:dyDescent="0.2">
      <c r="A955" s="2">
        <v>20</v>
      </c>
      <c r="B955" s="1" t="s">
        <v>209</v>
      </c>
      <c r="C955" s="4">
        <v>5</v>
      </c>
      <c r="D955" s="8">
        <v>1.26</v>
      </c>
      <c r="E955" s="4">
        <v>3</v>
      </c>
      <c r="F955" s="8">
        <v>1.27</v>
      </c>
      <c r="G955" s="4">
        <v>2</v>
      </c>
      <c r="H955" s="8">
        <v>1.32</v>
      </c>
      <c r="I955" s="4">
        <v>0</v>
      </c>
    </row>
    <row r="956" spans="1:9" x14ac:dyDescent="0.2">
      <c r="A956" s="2">
        <v>20</v>
      </c>
      <c r="B956" s="1" t="s">
        <v>176</v>
      </c>
      <c r="C956" s="4">
        <v>5</v>
      </c>
      <c r="D956" s="8">
        <v>1.26</v>
      </c>
      <c r="E956" s="4">
        <v>0</v>
      </c>
      <c r="F956" s="8">
        <v>0</v>
      </c>
      <c r="G956" s="4">
        <v>5</v>
      </c>
      <c r="H956" s="8">
        <v>3.29</v>
      </c>
      <c r="I956" s="4">
        <v>0</v>
      </c>
    </row>
    <row r="957" spans="1:9" x14ac:dyDescent="0.2">
      <c r="A957" s="1"/>
      <c r="C957" s="4"/>
      <c r="D957" s="8"/>
      <c r="E957" s="4"/>
      <c r="F957" s="8"/>
      <c r="G957" s="4"/>
      <c r="H957" s="8"/>
      <c r="I957" s="4"/>
    </row>
    <row r="958" spans="1:9" x14ac:dyDescent="0.2">
      <c r="A958" s="1" t="s">
        <v>38</v>
      </c>
      <c r="C958" s="4"/>
      <c r="D958" s="8"/>
      <c r="E958" s="4"/>
      <c r="F958" s="8"/>
      <c r="G958" s="4"/>
      <c r="H958" s="8"/>
      <c r="I958" s="4"/>
    </row>
    <row r="959" spans="1:9" x14ac:dyDescent="0.2">
      <c r="A959" s="2">
        <v>1</v>
      </c>
      <c r="B959" s="1" t="s">
        <v>151</v>
      </c>
      <c r="C959" s="4">
        <v>15</v>
      </c>
      <c r="D959" s="8">
        <v>5.23</v>
      </c>
      <c r="E959" s="4">
        <v>15</v>
      </c>
      <c r="F959" s="8">
        <v>8.3800000000000008</v>
      </c>
      <c r="G959" s="4">
        <v>0</v>
      </c>
      <c r="H959" s="8">
        <v>0</v>
      </c>
      <c r="I959" s="4">
        <v>0</v>
      </c>
    </row>
    <row r="960" spans="1:9" x14ac:dyDescent="0.2">
      <c r="A960" s="2">
        <v>2</v>
      </c>
      <c r="B960" s="1" t="s">
        <v>135</v>
      </c>
      <c r="C960" s="4">
        <v>13</v>
      </c>
      <c r="D960" s="8">
        <v>4.53</v>
      </c>
      <c r="E960" s="4">
        <v>6</v>
      </c>
      <c r="F960" s="8">
        <v>3.35</v>
      </c>
      <c r="G960" s="4">
        <v>7</v>
      </c>
      <c r="H960" s="8">
        <v>6.8</v>
      </c>
      <c r="I960" s="4">
        <v>0</v>
      </c>
    </row>
    <row r="961" spans="1:9" x14ac:dyDescent="0.2">
      <c r="A961" s="2">
        <v>3</v>
      </c>
      <c r="B961" s="1" t="s">
        <v>137</v>
      </c>
      <c r="C961" s="4">
        <v>11</v>
      </c>
      <c r="D961" s="8">
        <v>3.83</v>
      </c>
      <c r="E961" s="4">
        <v>8</v>
      </c>
      <c r="F961" s="8">
        <v>4.47</v>
      </c>
      <c r="G961" s="4">
        <v>3</v>
      </c>
      <c r="H961" s="8">
        <v>2.91</v>
      </c>
      <c r="I961" s="4">
        <v>0</v>
      </c>
    </row>
    <row r="962" spans="1:9" x14ac:dyDescent="0.2">
      <c r="A962" s="2">
        <v>3</v>
      </c>
      <c r="B962" s="1" t="s">
        <v>154</v>
      </c>
      <c r="C962" s="4">
        <v>11</v>
      </c>
      <c r="D962" s="8">
        <v>3.83</v>
      </c>
      <c r="E962" s="4">
        <v>9</v>
      </c>
      <c r="F962" s="8">
        <v>5.03</v>
      </c>
      <c r="G962" s="4">
        <v>2</v>
      </c>
      <c r="H962" s="8">
        <v>1.94</v>
      </c>
      <c r="I962" s="4">
        <v>0</v>
      </c>
    </row>
    <row r="963" spans="1:9" x14ac:dyDescent="0.2">
      <c r="A963" s="2">
        <v>5</v>
      </c>
      <c r="B963" s="1" t="s">
        <v>136</v>
      </c>
      <c r="C963" s="4">
        <v>8</v>
      </c>
      <c r="D963" s="8">
        <v>2.79</v>
      </c>
      <c r="E963" s="4">
        <v>5</v>
      </c>
      <c r="F963" s="8">
        <v>2.79</v>
      </c>
      <c r="G963" s="4">
        <v>3</v>
      </c>
      <c r="H963" s="8">
        <v>2.91</v>
      </c>
      <c r="I963" s="4">
        <v>0</v>
      </c>
    </row>
    <row r="964" spans="1:9" x14ac:dyDescent="0.2">
      <c r="A964" s="2">
        <v>5</v>
      </c>
      <c r="B964" s="1" t="s">
        <v>138</v>
      </c>
      <c r="C964" s="4">
        <v>8</v>
      </c>
      <c r="D964" s="8">
        <v>2.79</v>
      </c>
      <c r="E964" s="4">
        <v>3</v>
      </c>
      <c r="F964" s="8">
        <v>1.68</v>
      </c>
      <c r="G964" s="4">
        <v>5</v>
      </c>
      <c r="H964" s="8">
        <v>4.8499999999999996</v>
      </c>
      <c r="I964" s="4">
        <v>0</v>
      </c>
    </row>
    <row r="965" spans="1:9" x14ac:dyDescent="0.2">
      <c r="A965" s="2">
        <v>5</v>
      </c>
      <c r="B965" s="1" t="s">
        <v>141</v>
      </c>
      <c r="C965" s="4">
        <v>8</v>
      </c>
      <c r="D965" s="8">
        <v>2.79</v>
      </c>
      <c r="E965" s="4">
        <v>7</v>
      </c>
      <c r="F965" s="8">
        <v>3.91</v>
      </c>
      <c r="G965" s="4">
        <v>1</v>
      </c>
      <c r="H965" s="8">
        <v>0.97</v>
      </c>
      <c r="I965" s="4">
        <v>0</v>
      </c>
    </row>
    <row r="966" spans="1:9" x14ac:dyDescent="0.2">
      <c r="A966" s="2">
        <v>5</v>
      </c>
      <c r="B966" s="1" t="s">
        <v>150</v>
      </c>
      <c r="C966" s="4">
        <v>8</v>
      </c>
      <c r="D966" s="8">
        <v>2.79</v>
      </c>
      <c r="E966" s="4">
        <v>8</v>
      </c>
      <c r="F966" s="8">
        <v>4.47</v>
      </c>
      <c r="G966" s="4">
        <v>0</v>
      </c>
      <c r="H966" s="8">
        <v>0</v>
      </c>
      <c r="I966" s="4">
        <v>0</v>
      </c>
    </row>
    <row r="967" spans="1:9" x14ac:dyDescent="0.2">
      <c r="A967" s="2">
        <v>5</v>
      </c>
      <c r="B967" s="1" t="s">
        <v>153</v>
      </c>
      <c r="C967" s="4">
        <v>8</v>
      </c>
      <c r="D967" s="8">
        <v>2.79</v>
      </c>
      <c r="E967" s="4">
        <v>7</v>
      </c>
      <c r="F967" s="8">
        <v>3.91</v>
      </c>
      <c r="G967" s="4">
        <v>1</v>
      </c>
      <c r="H967" s="8">
        <v>0.97</v>
      </c>
      <c r="I967" s="4">
        <v>0</v>
      </c>
    </row>
    <row r="968" spans="1:9" x14ac:dyDescent="0.2">
      <c r="A968" s="2">
        <v>10</v>
      </c>
      <c r="B968" s="1" t="s">
        <v>152</v>
      </c>
      <c r="C968" s="4">
        <v>7</v>
      </c>
      <c r="D968" s="8">
        <v>2.44</v>
      </c>
      <c r="E968" s="4">
        <v>7</v>
      </c>
      <c r="F968" s="8">
        <v>3.91</v>
      </c>
      <c r="G968" s="4">
        <v>0</v>
      </c>
      <c r="H968" s="8">
        <v>0</v>
      </c>
      <c r="I968" s="4">
        <v>0</v>
      </c>
    </row>
    <row r="969" spans="1:9" x14ac:dyDescent="0.2">
      <c r="A969" s="2">
        <v>10</v>
      </c>
      <c r="B969" s="1" t="s">
        <v>180</v>
      </c>
      <c r="C969" s="4">
        <v>7</v>
      </c>
      <c r="D969" s="8">
        <v>2.44</v>
      </c>
      <c r="E969" s="4">
        <v>0</v>
      </c>
      <c r="F969" s="8">
        <v>0</v>
      </c>
      <c r="G969" s="4">
        <v>7</v>
      </c>
      <c r="H969" s="8">
        <v>6.8</v>
      </c>
      <c r="I969" s="4">
        <v>0</v>
      </c>
    </row>
    <row r="970" spans="1:9" x14ac:dyDescent="0.2">
      <c r="A970" s="2">
        <v>12</v>
      </c>
      <c r="B970" s="1" t="s">
        <v>164</v>
      </c>
      <c r="C970" s="4">
        <v>6</v>
      </c>
      <c r="D970" s="8">
        <v>2.09</v>
      </c>
      <c r="E970" s="4">
        <v>1</v>
      </c>
      <c r="F970" s="8">
        <v>0.56000000000000005</v>
      </c>
      <c r="G970" s="4">
        <v>5</v>
      </c>
      <c r="H970" s="8">
        <v>4.8499999999999996</v>
      </c>
      <c r="I970" s="4">
        <v>0</v>
      </c>
    </row>
    <row r="971" spans="1:9" x14ac:dyDescent="0.2">
      <c r="A971" s="2">
        <v>12</v>
      </c>
      <c r="B971" s="1" t="s">
        <v>140</v>
      </c>
      <c r="C971" s="4">
        <v>6</v>
      </c>
      <c r="D971" s="8">
        <v>2.09</v>
      </c>
      <c r="E971" s="4">
        <v>6</v>
      </c>
      <c r="F971" s="8">
        <v>3.35</v>
      </c>
      <c r="G971" s="4">
        <v>0</v>
      </c>
      <c r="H971" s="8">
        <v>0</v>
      </c>
      <c r="I971" s="4">
        <v>0</v>
      </c>
    </row>
    <row r="972" spans="1:9" x14ac:dyDescent="0.2">
      <c r="A972" s="2">
        <v>12</v>
      </c>
      <c r="B972" s="1" t="s">
        <v>147</v>
      </c>
      <c r="C972" s="4">
        <v>6</v>
      </c>
      <c r="D972" s="8">
        <v>2.09</v>
      </c>
      <c r="E972" s="4">
        <v>5</v>
      </c>
      <c r="F972" s="8">
        <v>2.79</v>
      </c>
      <c r="G972" s="4">
        <v>1</v>
      </c>
      <c r="H972" s="8">
        <v>0.97</v>
      </c>
      <c r="I972" s="4">
        <v>0</v>
      </c>
    </row>
    <row r="973" spans="1:9" x14ac:dyDescent="0.2">
      <c r="A973" s="2">
        <v>15</v>
      </c>
      <c r="B973" s="1" t="s">
        <v>143</v>
      </c>
      <c r="C973" s="4">
        <v>5</v>
      </c>
      <c r="D973" s="8">
        <v>1.74</v>
      </c>
      <c r="E973" s="4">
        <v>4</v>
      </c>
      <c r="F973" s="8">
        <v>2.23</v>
      </c>
      <c r="G973" s="4">
        <v>1</v>
      </c>
      <c r="H973" s="8">
        <v>0.97</v>
      </c>
      <c r="I973" s="4">
        <v>0</v>
      </c>
    </row>
    <row r="974" spans="1:9" x14ac:dyDescent="0.2">
      <c r="A974" s="2">
        <v>15</v>
      </c>
      <c r="B974" s="1" t="s">
        <v>145</v>
      </c>
      <c r="C974" s="4">
        <v>5</v>
      </c>
      <c r="D974" s="8">
        <v>1.74</v>
      </c>
      <c r="E974" s="4">
        <v>4</v>
      </c>
      <c r="F974" s="8">
        <v>2.23</v>
      </c>
      <c r="G974" s="4">
        <v>1</v>
      </c>
      <c r="H974" s="8">
        <v>0.97</v>
      </c>
      <c r="I974" s="4">
        <v>0</v>
      </c>
    </row>
    <row r="975" spans="1:9" x14ac:dyDescent="0.2">
      <c r="A975" s="2">
        <v>15</v>
      </c>
      <c r="B975" s="1" t="s">
        <v>148</v>
      </c>
      <c r="C975" s="4">
        <v>5</v>
      </c>
      <c r="D975" s="8">
        <v>1.74</v>
      </c>
      <c r="E975" s="4">
        <v>5</v>
      </c>
      <c r="F975" s="8">
        <v>2.79</v>
      </c>
      <c r="G975" s="4">
        <v>0</v>
      </c>
      <c r="H975" s="8">
        <v>0</v>
      </c>
      <c r="I975" s="4">
        <v>0</v>
      </c>
    </row>
    <row r="976" spans="1:9" x14ac:dyDescent="0.2">
      <c r="A976" s="2">
        <v>18</v>
      </c>
      <c r="B976" s="1" t="s">
        <v>240</v>
      </c>
      <c r="C976" s="4">
        <v>4</v>
      </c>
      <c r="D976" s="8">
        <v>1.39</v>
      </c>
      <c r="E976" s="4">
        <v>1</v>
      </c>
      <c r="F976" s="8">
        <v>0.56000000000000005</v>
      </c>
      <c r="G976" s="4">
        <v>3</v>
      </c>
      <c r="H976" s="8">
        <v>2.91</v>
      </c>
      <c r="I976" s="4">
        <v>0</v>
      </c>
    </row>
    <row r="977" spans="1:9" x14ac:dyDescent="0.2">
      <c r="A977" s="2">
        <v>19</v>
      </c>
      <c r="B977" s="1" t="s">
        <v>163</v>
      </c>
      <c r="C977" s="4">
        <v>3</v>
      </c>
      <c r="D977" s="8">
        <v>1.05</v>
      </c>
      <c r="E977" s="4">
        <v>0</v>
      </c>
      <c r="F977" s="8">
        <v>0</v>
      </c>
      <c r="G977" s="4">
        <v>3</v>
      </c>
      <c r="H977" s="8">
        <v>2.91</v>
      </c>
      <c r="I977" s="4">
        <v>0</v>
      </c>
    </row>
    <row r="978" spans="1:9" x14ac:dyDescent="0.2">
      <c r="A978" s="2">
        <v>19</v>
      </c>
      <c r="B978" s="1" t="s">
        <v>236</v>
      </c>
      <c r="C978" s="4">
        <v>3</v>
      </c>
      <c r="D978" s="8">
        <v>1.05</v>
      </c>
      <c r="E978" s="4">
        <v>0</v>
      </c>
      <c r="F978" s="8">
        <v>0</v>
      </c>
      <c r="G978" s="4">
        <v>3</v>
      </c>
      <c r="H978" s="8">
        <v>2.91</v>
      </c>
      <c r="I978" s="4">
        <v>0</v>
      </c>
    </row>
    <row r="979" spans="1:9" x14ac:dyDescent="0.2">
      <c r="A979" s="2">
        <v>19</v>
      </c>
      <c r="B979" s="1" t="s">
        <v>237</v>
      </c>
      <c r="C979" s="4">
        <v>3</v>
      </c>
      <c r="D979" s="8">
        <v>1.05</v>
      </c>
      <c r="E979" s="4">
        <v>2</v>
      </c>
      <c r="F979" s="8">
        <v>1.1200000000000001</v>
      </c>
      <c r="G979" s="4">
        <v>1</v>
      </c>
      <c r="H979" s="8">
        <v>0.97</v>
      </c>
      <c r="I979" s="4">
        <v>0</v>
      </c>
    </row>
    <row r="980" spans="1:9" x14ac:dyDescent="0.2">
      <c r="A980" s="2">
        <v>19</v>
      </c>
      <c r="B980" s="1" t="s">
        <v>238</v>
      </c>
      <c r="C980" s="4">
        <v>3</v>
      </c>
      <c r="D980" s="8">
        <v>1.05</v>
      </c>
      <c r="E980" s="4">
        <v>0</v>
      </c>
      <c r="F980" s="8">
        <v>0</v>
      </c>
      <c r="G980" s="4">
        <v>3</v>
      </c>
      <c r="H980" s="8">
        <v>2.91</v>
      </c>
      <c r="I980" s="4">
        <v>0</v>
      </c>
    </row>
    <row r="981" spans="1:9" x14ac:dyDescent="0.2">
      <c r="A981" s="2">
        <v>19</v>
      </c>
      <c r="B981" s="1" t="s">
        <v>200</v>
      </c>
      <c r="C981" s="4">
        <v>3</v>
      </c>
      <c r="D981" s="8">
        <v>1.05</v>
      </c>
      <c r="E981" s="4">
        <v>2</v>
      </c>
      <c r="F981" s="8">
        <v>1.1200000000000001</v>
      </c>
      <c r="G981" s="4">
        <v>1</v>
      </c>
      <c r="H981" s="8">
        <v>0.97</v>
      </c>
      <c r="I981" s="4">
        <v>0</v>
      </c>
    </row>
    <row r="982" spans="1:9" x14ac:dyDescent="0.2">
      <c r="A982" s="2">
        <v>19</v>
      </c>
      <c r="B982" s="1" t="s">
        <v>174</v>
      </c>
      <c r="C982" s="4">
        <v>3</v>
      </c>
      <c r="D982" s="8">
        <v>1.05</v>
      </c>
      <c r="E982" s="4">
        <v>2</v>
      </c>
      <c r="F982" s="8">
        <v>1.1200000000000001</v>
      </c>
      <c r="G982" s="4">
        <v>1</v>
      </c>
      <c r="H982" s="8">
        <v>0.97</v>
      </c>
      <c r="I982" s="4">
        <v>0</v>
      </c>
    </row>
    <row r="983" spans="1:9" x14ac:dyDescent="0.2">
      <c r="A983" s="2">
        <v>19</v>
      </c>
      <c r="B983" s="1" t="s">
        <v>203</v>
      </c>
      <c r="C983" s="4">
        <v>3</v>
      </c>
      <c r="D983" s="8">
        <v>1.05</v>
      </c>
      <c r="E983" s="4">
        <v>3</v>
      </c>
      <c r="F983" s="8">
        <v>1.68</v>
      </c>
      <c r="G983" s="4">
        <v>0</v>
      </c>
      <c r="H983" s="8">
        <v>0</v>
      </c>
      <c r="I983" s="4">
        <v>0</v>
      </c>
    </row>
    <row r="984" spans="1:9" x14ac:dyDescent="0.2">
      <c r="A984" s="2">
        <v>19</v>
      </c>
      <c r="B984" s="1" t="s">
        <v>204</v>
      </c>
      <c r="C984" s="4">
        <v>3</v>
      </c>
      <c r="D984" s="8">
        <v>1.05</v>
      </c>
      <c r="E984" s="4">
        <v>2</v>
      </c>
      <c r="F984" s="8">
        <v>1.1200000000000001</v>
      </c>
      <c r="G984" s="4">
        <v>1</v>
      </c>
      <c r="H984" s="8">
        <v>0.97</v>
      </c>
      <c r="I984" s="4">
        <v>0</v>
      </c>
    </row>
    <row r="985" spans="1:9" x14ac:dyDescent="0.2">
      <c r="A985" s="2">
        <v>19</v>
      </c>
      <c r="B985" s="1" t="s">
        <v>155</v>
      </c>
      <c r="C985" s="4">
        <v>3</v>
      </c>
      <c r="D985" s="8">
        <v>1.05</v>
      </c>
      <c r="E985" s="4">
        <v>2</v>
      </c>
      <c r="F985" s="8">
        <v>1.1200000000000001</v>
      </c>
      <c r="G985" s="4">
        <v>1</v>
      </c>
      <c r="H985" s="8">
        <v>0.97</v>
      </c>
      <c r="I985" s="4">
        <v>0</v>
      </c>
    </row>
    <row r="986" spans="1:9" x14ac:dyDescent="0.2">
      <c r="A986" s="2">
        <v>19</v>
      </c>
      <c r="B986" s="1" t="s">
        <v>146</v>
      </c>
      <c r="C986" s="4">
        <v>3</v>
      </c>
      <c r="D986" s="8">
        <v>1.05</v>
      </c>
      <c r="E986" s="4">
        <v>1</v>
      </c>
      <c r="F986" s="8">
        <v>0.56000000000000005</v>
      </c>
      <c r="G986" s="4">
        <v>2</v>
      </c>
      <c r="H986" s="8">
        <v>1.94</v>
      </c>
      <c r="I986" s="4">
        <v>0</v>
      </c>
    </row>
    <row r="987" spans="1:9" x14ac:dyDescent="0.2">
      <c r="A987" s="2">
        <v>19</v>
      </c>
      <c r="B987" s="1" t="s">
        <v>159</v>
      </c>
      <c r="C987" s="4">
        <v>3</v>
      </c>
      <c r="D987" s="8">
        <v>1.05</v>
      </c>
      <c r="E987" s="4">
        <v>3</v>
      </c>
      <c r="F987" s="8">
        <v>1.68</v>
      </c>
      <c r="G987" s="4">
        <v>0</v>
      </c>
      <c r="H987" s="8">
        <v>0</v>
      </c>
      <c r="I987" s="4">
        <v>0</v>
      </c>
    </row>
    <row r="988" spans="1:9" x14ac:dyDescent="0.2">
      <c r="A988" s="2">
        <v>19</v>
      </c>
      <c r="B988" s="1" t="s">
        <v>172</v>
      </c>
      <c r="C988" s="4">
        <v>3</v>
      </c>
      <c r="D988" s="8">
        <v>1.05</v>
      </c>
      <c r="E988" s="4">
        <v>3</v>
      </c>
      <c r="F988" s="8">
        <v>1.68</v>
      </c>
      <c r="G988" s="4">
        <v>0</v>
      </c>
      <c r="H988" s="8">
        <v>0</v>
      </c>
      <c r="I988" s="4">
        <v>0</v>
      </c>
    </row>
    <row r="989" spans="1:9" x14ac:dyDescent="0.2">
      <c r="A989" s="2">
        <v>19</v>
      </c>
      <c r="B989" s="1" t="s">
        <v>210</v>
      </c>
      <c r="C989" s="4">
        <v>3</v>
      </c>
      <c r="D989" s="8">
        <v>1.05</v>
      </c>
      <c r="E989" s="4">
        <v>3</v>
      </c>
      <c r="F989" s="8">
        <v>1.68</v>
      </c>
      <c r="G989" s="4">
        <v>0</v>
      </c>
      <c r="H989" s="8">
        <v>0</v>
      </c>
      <c r="I989" s="4">
        <v>0</v>
      </c>
    </row>
    <row r="990" spans="1:9" x14ac:dyDescent="0.2">
      <c r="A990" s="2">
        <v>19</v>
      </c>
      <c r="B990" s="1" t="s">
        <v>216</v>
      </c>
      <c r="C990" s="4">
        <v>3</v>
      </c>
      <c r="D990" s="8">
        <v>1.05</v>
      </c>
      <c r="E990" s="4">
        <v>0</v>
      </c>
      <c r="F990" s="8">
        <v>0</v>
      </c>
      <c r="G990" s="4">
        <v>1</v>
      </c>
      <c r="H990" s="8">
        <v>0.97</v>
      </c>
      <c r="I990" s="4">
        <v>1</v>
      </c>
    </row>
    <row r="991" spans="1:9" x14ac:dyDescent="0.2">
      <c r="A991" s="2">
        <v>19</v>
      </c>
      <c r="B991" s="1" t="s">
        <v>239</v>
      </c>
      <c r="C991" s="4">
        <v>3</v>
      </c>
      <c r="D991" s="8">
        <v>1.05</v>
      </c>
      <c r="E991" s="4">
        <v>2</v>
      </c>
      <c r="F991" s="8">
        <v>1.1200000000000001</v>
      </c>
      <c r="G991" s="4">
        <v>1</v>
      </c>
      <c r="H991" s="8">
        <v>0.97</v>
      </c>
      <c r="I991" s="4">
        <v>0</v>
      </c>
    </row>
    <row r="992" spans="1:9" x14ac:dyDescent="0.2">
      <c r="A992" s="1"/>
      <c r="C992" s="4"/>
      <c r="D992" s="8"/>
      <c r="E992" s="4"/>
      <c r="F992" s="8"/>
      <c r="G992" s="4"/>
      <c r="H992" s="8"/>
      <c r="I992" s="4"/>
    </row>
    <row r="993" spans="1:9" x14ac:dyDescent="0.2">
      <c r="A993" s="1" t="s">
        <v>39</v>
      </c>
      <c r="C993" s="4"/>
      <c r="D993" s="8"/>
      <c r="E993" s="4"/>
      <c r="F993" s="8"/>
      <c r="G993" s="4"/>
      <c r="H993" s="8"/>
      <c r="I993" s="4"/>
    </row>
    <row r="994" spans="1:9" x14ac:dyDescent="0.2">
      <c r="A994" s="2">
        <v>1</v>
      </c>
      <c r="B994" s="1" t="s">
        <v>151</v>
      </c>
      <c r="C994" s="4">
        <v>25</v>
      </c>
      <c r="D994" s="8">
        <v>7.69</v>
      </c>
      <c r="E994" s="4">
        <v>22</v>
      </c>
      <c r="F994" s="8">
        <v>12.57</v>
      </c>
      <c r="G994" s="4">
        <v>3</v>
      </c>
      <c r="H994" s="8">
        <v>2.08</v>
      </c>
      <c r="I994" s="4">
        <v>0</v>
      </c>
    </row>
    <row r="995" spans="1:9" x14ac:dyDescent="0.2">
      <c r="A995" s="2">
        <v>2</v>
      </c>
      <c r="B995" s="1" t="s">
        <v>150</v>
      </c>
      <c r="C995" s="4">
        <v>16</v>
      </c>
      <c r="D995" s="8">
        <v>4.92</v>
      </c>
      <c r="E995" s="4">
        <v>15</v>
      </c>
      <c r="F995" s="8">
        <v>8.57</v>
      </c>
      <c r="G995" s="4">
        <v>1</v>
      </c>
      <c r="H995" s="8">
        <v>0.69</v>
      </c>
      <c r="I995" s="4">
        <v>0</v>
      </c>
    </row>
    <row r="996" spans="1:9" x14ac:dyDescent="0.2">
      <c r="A996" s="2">
        <v>3</v>
      </c>
      <c r="B996" s="1" t="s">
        <v>154</v>
      </c>
      <c r="C996" s="4">
        <v>12</v>
      </c>
      <c r="D996" s="8">
        <v>3.69</v>
      </c>
      <c r="E996" s="4">
        <v>5</v>
      </c>
      <c r="F996" s="8">
        <v>2.86</v>
      </c>
      <c r="G996" s="4">
        <v>7</v>
      </c>
      <c r="H996" s="8">
        <v>4.8600000000000003</v>
      </c>
      <c r="I996" s="4">
        <v>0</v>
      </c>
    </row>
    <row r="997" spans="1:9" x14ac:dyDescent="0.2">
      <c r="A997" s="2">
        <v>4</v>
      </c>
      <c r="B997" s="1" t="s">
        <v>138</v>
      </c>
      <c r="C997" s="4">
        <v>11</v>
      </c>
      <c r="D997" s="8">
        <v>3.38</v>
      </c>
      <c r="E997" s="4">
        <v>3</v>
      </c>
      <c r="F997" s="8">
        <v>1.71</v>
      </c>
      <c r="G997" s="4">
        <v>8</v>
      </c>
      <c r="H997" s="8">
        <v>5.56</v>
      </c>
      <c r="I997" s="4">
        <v>0</v>
      </c>
    </row>
    <row r="998" spans="1:9" x14ac:dyDescent="0.2">
      <c r="A998" s="2">
        <v>4</v>
      </c>
      <c r="B998" s="1" t="s">
        <v>140</v>
      </c>
      <c r="C998" s="4">
        <v>11</v>
      </c>
      <c r="D998" s="8">
        <v>3.38</v>
      </c>
      <c r="E998" s="4">
        <v>10</v>
      </c>
      <c r="F998" s="8">
        <v>5.71</v>
      </c>
      <c r="G998" s="4">
        <v>1</v>
      </c>
      <c r="H998" s="8">
        <v>0.69</v>
      </c>
      <c r="I998" s="4">
        <v>0</v>
      </c>
    </row>
    <row r="999" spans="1:9" x14ac:dyDescent="0.2">
      <c r="A999" s="2">
        <v>6</v>
      </c>
      <c r="B999" s="1" t="s">
        <v>135</v>
      </c>
      <c r="C999" s="4">
        <v>10</v>
      </c>
      <c r="D999" s="8">
        <v>3.08</v>
      </c>
      <c r="E999" s="4">
        <v>1</v>
      </c>
      <c r="F999" s="8">
        <v>0.56999999999999995</v>
      </c>
      <c r="G999" s="4">
        <v>9</v>
      </c>
      <c r="H999" s="8">
        <v>6.25</v>
      </c>
      <c r="I999" s="4">
        <v>0</v>
      </c>
    </row>
    <row r="1000" spans="1:9" x14ac:dyDescent="0.2">
      <c r="A1000" s="2">
        <v>6</v>
      </c>
      <c r="B1000" s="1" t="s">
        <v>148</v>
      </c>
      <c r="C1000" s="4">
        <v>10</v>
      </c>
      <c r="D1000" s="8">
        <v>3.08</v>
      </c>
      <c r="E1000" s="4">
        <v>10</v>
      </c>
      <c r="F1000" s="8">
        <v>5.71</v>
      </c>
      <c r="G1000" s="4">
        <v>0</v>
      </c>
      <c r="H1000" s="8">
        <v>0</v>
      </c>
      <c r="I1000" s="4">
        <v>0</v>
      </c>
    </row>
    <row r="1001" spans="1:9" x14ac:dyDescent="0.2">
      <c r="A1001" s="2">
        <v>8</v>
      </c>
      <c r="B1001" s="1" t="s">
        <v>153</v>
      </c>
      <c r="C1001" s="4">
        <v>9</v>
      </c>
      <c r="D1001" s="8">
        <v>2.77</v>
      </c>
      <c r="E1001" s="4">
        <v>8</v>
      </c>
      <c r="F1001" s="8">
        <v>4.57</v>
      </c>
      <c r="G1001" s="4">
        <v>1</v>
      </c>
      <c r="H1001" s="8">
        <v>0.69</v>
      </c>
      <c r="I1001" s="4">
        <v>0</v>
      </c>
    </row>
    <row r="1002" spans="1:9" x14ac:dyDescent="0.2">
      <c r="A1002" s="2">
        <v>9</v>
      </c>
      <c r="B1002" s="1" t="s">
        <v>141</v>
      </c>
      <c r="C1002" s="4">
        <v>8</v>
      </c>
      <c r="D1002" s="8">
        <v>2.46</v>
      </c>
      <c r="E1002" s="4">
        <v>5</v>
      </c>
      <c r="F1002" s="8">
        <v>2.86</v>
      </c>
      <c r="G1002" s="4">
        <v>3</v>
      </c>
      <c r="H1002" s="8">
        <v>2.08</v>
      </c>
      <c r="I1002" s="4">
        <v>0</v>
      </c>
    </row>
    <row r="1003" spans="1:9" x14ac:dyDescent="0.2">
      <c r="A1003" s="2">
        <v>9</v>
      </c>
      <c r="B1003" s="1" t="s">
        <v>142</v>
      </c>
      <c r="C1003" s="4">
        <v>8</v>
      </c>
      <c r="D1003" s="8">
        <v>2.46</v>
      </c>
      <c r="E1003" s="4">
        <v>4</v>
      </c>
      <c r="F1003" s="8">
        <v>2.29</v>
      </c>
      <c r="G1003" s="4">
        <v>4</v>
      </c>
      <c r="H1003" s="8">
        <v>2.78</v>
      </c>
      <c r="I1003" s="4">
        <v>0</v>
      </c>
    </row>
    <row r="1004" spans="1:9" x14ac:dyDescent="0.2">
      <c r="A1004" s="2">
        <v>11</v>
      </c>
      <c r="B1004" s="1" t="s">
        <v>137</v>
      </c>
      <c r="C1004" s="4">
        <v>7</v>
      </c>
      <c r="D1004" s="8">
        <v>2.15</v>
      </c>
      <c r="E1004" s="4">
        <v>6</v>
      </c>
      <c r="F1004" s="8">
        <v>3.43</v>
      </c>
      <c r="G1004" s="4">
        <v>1</v>
      </c>
      <c r="H1004" s="8">
        <v>0.69</v>
      </c>
      <c r="I1004" s="4">
        <v>0</v>
      </c>
    </row>
    <row r="1005" spans="1:9" x14ac:dyDescent="0.2">
      <c r="A1005" s="2">
        <v>12</v>
      </c>
      <c r="B1005" s="1" t="s">
        <v>174</v>
      </c>
      <c r="C1005" s="4">
        <v>6</v>
      </c>
      <c r="D1005" s="8">
        <v>1.85</v>
      </c>
      <c r="E1005" s="4">
        <v>1</v>
      </c>
      <c r="F1005" s="8">
        <v>0.56999999999999995</v>
      </c>
      <c r="G1005" s="4">
        <v>5</v>
      </c>
      <c r="H1005" s="8">
        <v>3.47</v>
      </c>
      <c r="I1005" s="4">
        <v>0</v>
      </c>
    </row>
    <row r="1006" spans="1:9" x14ac:dyDescent="0.2">
      <c r="A1006" s="2">
        <v>12</v>
      </c>
      <c r="B1006" s="1" t="s">
        <v>168</v>
      </c>
      <c r="C1006" s="4">
        <v>6</v>
      </c>
      <c r="D1006" s="8">
        <v>1.85</v>
      </c>
      <c r="E1006" s="4">
        <v>0</v>
      </c>
      <c r="F1006" s="8">
        <v>0</v>
      </c>
      <c r="G1006" s="4">
        <v>6</v>
      </c>
      <c r="H1006" s="8">
        <v>4.17</v>
      </c>
      <c r="I1006" s="4">
        <v>0</v>
      </c>
    </row>
    <row r="1007" spans="1:9" x14ac:dyDescent="0.2">
      <c r="A1007" s="2">
        <v>12</v>
      </c>
      <c r="B1007" s="1" t="s">
        <v>143</v>
      </c>
      <c r="C1007" s="4">
        <v>6</v>
      </c>
      <c r="D1007" s="8">
        <v>1.85</v>
      </c>
      <c r="E1007" s="4">
        <v>2</v>
      </c>
      <c r="F1007" s="8">
        <v>1.1399999999999999</v>
      </c>
      <c r="G1007" s="4">
        <v>4</v>
      </c>
      <c r="H1007" s="8">
        <v>2.78</v>
      </c>
      <c r="I1007" s="4">
        <v>0</v>
      </c>
    </row>
    <row r="1008" spans="1:9" x14ac:dyDescent="0.2">
      <c r="A1008" s="2">
        <v>12</v>
      </c>
      <c r="B1008" s="1" t="s">
        <v>147</v>
      </c>
      <c r="C1008" s="4">
        <v>6</v>
      </c>
      <c r="D1008" s="8">
        <v>1.85</v>
      </c>
      <c r="E1008" s="4">
        <v>6</v>
      </c>
      <c r="F1008" s="8">
        <v>3.43</v>
      </c>
      <c r="G1008" s="4">
        <v>0</v>
      </c>
      <c r="H1008" s="8">
        <v>0</v>
      </c>
      <c r="I1008" s="4">
        <v>0</v>
      </c>
    </row>
    <row r="1009" spans="1:9" x14ac:dyDescent="0.2">
      <c r="A1009" s="2">
        <v>12</v>
      </c>
      <c r="B1009" s="1" t="s">
        <v>180</v>
      </c>
      <c r="C1009" s="4">
        <v>6</v>
      </c>
      <c r="D1009" s="8">
        <v>1.85</v>
      </c>
      <c r="E1009" s="4">
        <v>0</v>
      </c>
      <c r="F1009" s="8">
        <v>0</v>
      </c>
      <c r="G1009" s="4">
        <v>6</v>
      </c>
      <c r="H1009" s="8">
        <v>4.17</v>
      </c>
      <c r="I1009" s="4">
        <v>0</v>
      </c>
    </row>
    <row r="1010" spans="1:9" x14ac:dyDescent="0.2">
      <c r="A1010" s="2">
        <v>17</v>
      </c>
      <c r="B1010" s="1" t="s">
        <v>163</v>
      </c>
      <c r="C1010" s="4">
        <v>5</v>
      </c>
      <c r="D1010" s="8">
        <v>1.54</v>
      </c>
      <c r="E1010" s="4">
        <v>1</v>
      </c>
      <c r="F1010" s="8">
        <v>0.56999999999999995</v>
      </c>
      <c r="G1010" s="4">
        <v>4</v>
      </c>
      <c r="H1010" s="8">
        <v>2.78</v>
      </c>
      <c r="I1010" s="4">
        <v>0</v>
      </c>
    </row>
    <row r="1011" spans="1:9" x14ac:dyDescent="0.2">
      <c r="A1011" s="2">
        <v>17</v>
      </c>
      <c r="B1011" s="1" t="s">
        <v>167</v>
      </c>
      <c r="C1011" s="4">
        <v>5</v>
      </c>
      <c r="D1011" s="8">
        <v>1.54</v>
      </c>
      <c r="E1011" s="4">
        <v>4</v>
      </c>
      <c r="F1011" s="8">
        <v>2.29</v>
      </c>
      <c r="G1011" s="4">
        <v>1</v>
      </c>
      <c r="H1011" s="8">
        <v>0.69</v>
      </c>
      <c r="I1011" s="4">
        <v>0</v>
      </c>
    </row>
    <row r="1012" spans="1:9" x14ac:dyDescent="0.2">
      <c r="A1012" s="2">
        <v>17</v>
      </c>
      <c r="B1012" s="1" t="s">
        <v>145</v>
      </c>
      <c r="C1012" s="4">
        <v>5</v>
      </c>
      <c r="D1012" s="8">
        <v>1.54</v>
      </c>
      <c r="E1012" s="4">
        <v>3</v>
      </c>
      <c r="F1012" s="8">
        <v>1.71</v>
      </c>
      <c r="G1012" s="4">
        <v>2</v>
      </c>
      <c r="H1012" s="8">
        <v>1.39</v>
      </c>
      <c r="I1012" s="4">
        <v>0</v>
      </c>
    </row>
    <row r="1013" spans="1:9" x14ac:dyDescent="0.2">
      <c r="A1013" s="2">
        <v>17</v>
      </c>
      <c r="B1013" s="1" t="s">
        <v>176</v>
      </c>
      <c r="C1013" s="4">
        <v>5</v>
      </c>
      <c r="D1013" s="8">
        <v>1.54</v>
      </c>
      <c r="E1013" s="4">
        <v>0</v>
      </c>
      <c r="F1013" s="8">
        <v>0</v>
      </c>
      <c r="G1013" s="4">
        <v>5</v>
      </c>
      <c r="H1013" s="8">
        <v>3.47</v>
      </c>
      <c r="I1013" s="4">
        <v>0</v>
      </c>
    </row>
    <row r="1014" spans="1:9" x14ac:dyDescent="0.2">
      <c r="A1014" s="1"/>
      <c r="C1014" s="4"/>
      <c r="D1014" s="8"/>
      <c r="E1014" s="4"/>
      <c r="F1014" s="8"/>
      <c r="G1014" s="4"/>
      <c r="H1014" s="8"/>
      <c r="I1014" s="4"/>
    </row>
    <row r="1015" spans="1:9" x14ac:dyDescent="0.2">
      <c r="A1015" s="1" t="s">
        <v>40</v>
      </c>
      <c r="C1015" s="4"/>
      <c r="D1015" s="8"/>
      <c r="E1015" s="4"/>
      <c r="F1015" s="8"/>
      <c r="G1015" s="4"/>
      <c r="H1015" s="8"/>
      <c r="I1015" s="4"/>
    </row>
    <row r="1016" spans="1:9" x14ac:dyDescent="0.2">
      <c r="A1016" s="2">
        <v>1</v>
      </c>
      <c r="B1016" s="1" t="s">
        <v>151</v>
      </c>
      <c r="C1016" s="4">
        <v>7</v>
      </c>
      <c r="D1016" s="8">
        <v>8.9700000000000006</v>
      </c>
      <c r="E1016" s="4">
        <v>7</v>
      </c>
      <c r="F1016" s="8">
        <v>17.07</v>
      </c>
      <c r="G1016" s="4">
        <v>0</v>
      </c>
      <c r="H1016" s="8">
        <v>0</v>
      </c>
      <c r="I1016" s="4">
        <v>0</v>
      </c>
    </row>
    <row r="1017" spans="1:9" x14ac:dyDescent="0.2">
      <c r="A1017" s="2">
        <v>2</v>
      </c>
      <c r="B1017" s="1" t="s">
        <v>150</v>
      </c>
      <c r="C1017" s="4">
        <v>4</v>
      </c>
      <c r="D1017" s="8">
        <v>5.13</v>
      </c>
      <c r="E1017" s="4">
        <v>4</v>
      </c>
      <c r="F1017" s="8">
        <v>9.76</v>
      </c>
      <c r="G1017" s="4">
        <v>0</v>
      </c>
      <c r="H1017" s="8">
        <v>0</v>
      </c>
      <c r="I1017" s="4">
        <v>0</v>
      </c>
    </row>
    <row r="1018" spans="1:9" x14ac:dyDescent="0.2">
      <c r="A1018" s="2">
        <v>2</v>
      </c>
      <c r="B1018" s="1" t="s">
        <v>153</v>
      </c>
      <c r="C1018" s="4">
        <v>4</v>
      </c>
      <c r="D1018" s="8">
        <v>5.13</v>
      </c>
      <c r="E1018" s="4">
        <v>4</v>
      </c>
      <c r="F1018" s="8">
        <v>9.76</v>
      </c>
      <c r="G1018" s="4">
        <v>0</v>
      </c>
      <c r="H1018" s="8">
        <v>0</v>
      </c>
      <c r="I1018" s="4">
        <v>0</v>
      </c>
    </row>
    <row r="1019" spans="1:9" x14ac:dyDescent="0.2">
      <c r="A1019" s="2">
        <v>4</v>
      </c>
      <c r="B1019" s="1" t="s">
        <v>135</v>
      </c>
      <c r="C1019" s="4">
        <v>3</v>
      </c>
      <c r="D1019" s="8">
        <v>3.85</v>
      </c>
      <c r="E1019" s="4">
        <v>0</v>
      </c>
      <c r="F1019" s="8">
        <v>0</v>
      </c>
      <c r="G1019" s="4">
        <v>3</v>
      </c>
      <c r="H1019" s="8">
        <v>9.09</v>
      </c>
      <c r="I1019" s="4">
        <v>0</v>
      </c>
    </row>
    <row r="1020" spans="1:9" x14ac:dyDescent="0.2">
      <c r="A1020" s="2">
        <v>4</v>
      </c>
      <c r="B1020" s="1" t="s">
        <v>245</v>
      </c>
      <c r="C1020" s="4">
        <v>3</v>
      </c>
      <c r="D1020" s="8">
        <v>3.85</v>
      </c>
      <c r="E1020" s="4">
        <v>0</v>
      </c>
      <c r="F1020" s="8">
        <v>0</v>
      </c>
      <c r="G1020" s="4">
        <v>3</v>
      </c>
      <c r="H1020" s="8">
        <v>9.09</v>
      </c>
      <c r="I1020" s="4">
        <v>0</v>
      </c>
    </row>
    <row r="1021" spans="1:9" x14ac:dyDescent="0.2">
      <c r="A1021" s="2">
        <v>4</v>
      </c>
      <c r="B1021" s="1" t="s">
        <v>140</v>
      </c>
      <c r="C1021" s="4">
        <v>3</v>
      </c>
      <c r="D1021" s="8">
        <v>3.85</v>
      </c>
      <c r="E1021" s="4">
        <v>1</v>
      </c>
      <c r="F1021" s="8">
        <v>2.44</v>
      </c>
      <c r="G1021" s="4">
        <v>2</v>
      </c>
      <c r="H1021" s="8">
        <v>6.06</v>
      </c>
      <c r="I1021" s="4">
        <v>0</v>
      </c>
    </row>
    <row r="1022" spans="1:9" x14ac:dyDescent="0.2">
      <c r="A1022" s="2">
        <v>4</v>
      </c>
      <c r="B1022" s="1" t="s">
        <v>141</v>
      </c>
      <c r="C1022" s="4">
        <v>3</v>
      </c>
      <c r="D1022" s="8">
        <v>3.85</v>
      </c>
      <c r="E1022" s="4">
        <v>1</v>
      </c>
      <c r="F1022" s="8">
        <v>2.44</v>
      </c>
      <c r="G1022" s="4">
        <v>2</v>
      </c>
      <c r="H1022" s="8">
        <v>6.06</v>
      </c>
      <c r="I1022" s="4">
        <v>0</v>
      </c>
    </row>
    <row r="1023" spans="1:9" x14ac:dyDescent="0.2">
      <c r="A1023" s="2">
        <v>4</v>
      </c>
      <c r="B1023" s="1" t="s">
        <v>154</v>
      </c>
      <c r="C1023" s="4">
        <v>3</v>
      </c>
      <c r="D1023" s="8">
        <v>3.85</v>
      </c>
      <c r="E1023" s="4">
        <v>3</v>
      </c>
      <c r="F1023" s="8">
        <v>7.32</v>
      </c>
      <c r="G1023" s="4">
        <v>0</v>
      </c>
      <c r="H1023" s="8">
        <v>0</v>
      </c>
      <c r="I1023" s="4">
        <v>0</v>
      </c>
    </row>
    <row r="1024" spans="1:9" x14ac:dyDescent="0.2">
      <c r="A1024" s="2">
        <v>9</v>
      </c>
      <c r="B1024" s="1" t="s">
        <v>138</v>
      </c>
      <c r="C1024" s="4">
        <v>2</v>
      </c>
      <c r="D1024" s="8">
        <v>2.56</v>
      </c>
      <c r="E1024" s="4">
        <v>1</v>
      </c>
      <c r="F1024" s="8">
        <v>2.44</v>
      </c>
      <c r="G1024" s="4">
        <v>1</v>
      </c>
      <c r="H1024" s="8">
        <v>3.03</v>
      </c>
      <c r="I1024" s="4">
        <v>0</v>
      </c>
    </row>
    <row r="1025" spans="1:9" x14ac:dyDescent="0.2">
      <c r="A1025" s="2">
        <v>9</v>
      </c>
      <c r="B1025" s="1" t="s">
        <v>236</v>
      </c>
      <c r="C1025" s="4">
        <v>2</v>
      </c>
      <c r="D1025" s="8">
        <v>2.56</v>
      </c>
      <c r="E1025" s="4">
        <v>2</v>
      </c>
      <c r="F1025" s="8">
        <v>4.88</v>
      </c>
      <c r="G1025" s="4">
        <v>0</v>
      </c>
      <c r="H1025" s="8">
        <v>0</v>
      </c>
      <c r="I1025" s="4">
        <v>0</v>
      </c>
    </row>
    <row r="1026" spans="1:9" x14ac:dyDescent="0.2">
      <c r="A1026" s="2">
        <v>9</v>
      </c>
      <c r="B1026" s="1" t="s">
        <v>244</v>
      </c>
      <c r="C1026" s="4">
        <v>2</v>
      </c>
      <c r="D1026" s="8">
        <v>2.56</v>
      </c>
      <c r="E1026" s="4">
        <v>0</v>
      </c>
      <c r="F1026" s="8">
        <v>0</v>
      </c>
      <c r="G1026" s="4">
        <v>2</v>
      </c>
      <c r="H1026" s="8">
        <v>6.06</v>
      </c>
      <c r="I1026" s="4">
        <v>0</v>
      </c>
    </row>
    <row r="1027" spans="1:9" x14ac:dyDescent="0.2">
      <c r="A1027" s="2">
        <v>9</v>
      </c>
      <c r="B1027" s="1" t="s">
        <v>195</v>
      </c>
      <c r="C1027" s="4">
        <v>2</v>
      </c>
      <c r="D1027" s="8">
        <v>2.56</v>
      </c>
      <c r="E1027" s="4">
        <v>0</v>
      </c>
      <c r="F1027" s="8">
        <v>0</v>
      </c>
      <c r="G1027" s="4">
        <v>2</v>
      </c>
      <c r="H1027" s="8">
        <v>6.06</v>
      </c>
      <c r="I1027" s="4">
        <v>0</v>
      </c>
    </row>
    <row r="1028" spans="1:9" x14ac:dyDescent="0.2">
      <c r="A1028" s="2">
        <v>9</v>
      </c>
      <c r="B1028" s="1" t="s">
        <v>173</v>
      </c>
      <c r="C1028" s="4">
        <v>2</v>
      </c>
      <c r="D1028" s="8">
        <v>2.56</v>
      </c>
      <c r="E1028" s="4">
        <v>1</v>
      </c>
      <c r="F1028" s="8">
        <v>2.44</v>
      </c>
      <c r="G1028" s="4">
        <v>1</v>
      </c>
      <c r="H1028" s="8">
        <v>3.03</v>
      </c>
      <c r="I1028" s="4">
        <v>0</v>
      </c>
    </row>
    <row r="1029" spans="1:9" x14ac:dyDescent="0.2">
      <c r="A1029" s="2">
        <v>9</v>
      </c>
      <c r="B1029" s="1" t="s">
        <v>167</v>
      </c>
      <c r="C1029" s="4">
        <v>2</v>
      </c>
      <c r="D1029" s="8">
        <v>2.56</v>
      </c>
      <c r="E1029" s="4">
        <v>2</v>
      </c>
      <c r="F1029" s="8">
        <v>4.88</v>
      </c>
      <c r="G1029" s="4">
        <v>0</v>
      </c>
      <c r="H1029" s="8">
        <v>0</v>
      </c>
      <c r="I1029" s="4">
        <v>0</v>
      </c>
    </row>
    <row r="1030" spans="1:9" x14ac:dyDescent="0.2">
      <c r="A1030" s="2">
        <v>9</v>
      </c>
      <c r="B1030" s="1" t="s">
        <v>168</v>
      </c>
      <c r="C1030" s="4">
        <v>2</v>
      </c>
      <c r="D1030" s="8">
        <v>2.56</v>
      </c>
      <c r="E1030" s="4">
        <v>0</v>
      </c>
      <c r="F1030" s="8">
        <v>0</v>
      </c>
      <c r="G1030" s="4">
        <v>2</v>
      </c>
      <c r="H1030" s="8">
        <v>6.06</v>
      </c>
      <c r="I1030" s="4">
        <v>0</v>
      </c>
    </row>
    <row r="1031" spans="1:9" x14ac:dyDescent="0.2">
      <c r="A1031" s="2">
        <v>9</v>
      </c>
      <c r="B1031" s="1" t="s">
        <v>169</v>
      </c>
      <c r="C1031" s="4">
        <v>2</v>
      </c>
      <c r="D1031" s="8">
        <v>2.56</v>
      </c>
      <c r="E1031" s="4">
        <v>0</v>
      </c>
      <c r="F1031" s="8">
        <v>0</v>
      </c>
      <c r="G1031" s="4">
        <v>2</v>
      </c>
      <c r="H1031" s="8">
        <v>6.06</v>
      </c>
      <c r="I1031" s="4">
        <v>0</v>
      </c>
    </row>
    <row r="1032" spans="1:9" x14ac:dyDescent="0.2">
      <c r="A1032" s="2">
        <v>9</v>
      </c>
      <c r="B1032" s="1" t="s">
        <v>147</v>
      </c>
      <c r="C1032" s="4">
        <v>2</v>
      </c>
      <c r="D1032" s="8">
        <v>2.56</v>
      </c>
      <c r="E1032" s="4">
        <v>2</v>
      </c>
      <c r="F1032" s="8">
        <v>4.88</v>
      </c>
      <c r="G1032" s="4">
        <v>0</v>
      </c>
      <c r="H1032" s="8">
        <v>0</v>
      </c>
      <c r="I1032" s="4">
        <v>0</v>
      </c>
    </row>
    <row r="1033" spans="1:9" x14ac:dyDescent="0.2">
      <c r="A1033" s="2">
        <v>18</v>
      </c>
      <c r="B1033" s="1" t="s">
        <v>136</v>
      </c>
      <c r="C1033" s="4">
        <v>1</v>
      </c>
      <c r="D1033" s="8">
        <v>1.28</v>
      </c>
      <c r="E1033" s="4">
        <v>0</v>
      </c>
      <c r="F1033" s="8">
        <v>0</v>
      </c>
      <c r="G1033" s="4">
        <v>1</v>
      </c>
      <c r="H1033" s="8">
        <v>3.03</v>
      </c>
      <c r="I1033" s="4">
        <v>0</v>
      </c>
    </row>
    <row r="1034" spans="1:9" x14ac:dyDescent="0.2">
      <c r="A1034" s="2">
        <v>18</v>
      </c>
      <c r="B1034" s="1" t="s">
        <v>137</v>
      </c>
      <c r="C1034" s="4">
        <v>1</v>
      </c>
      <c r="D1034" s="8">
        <v>1.28</v>
      </c>
      <c r="E1034" s="4">
        <v>1</v>
      </c>
      <c r="F1034" s="8">
        <v>2.44</v>
      </c>
      <c r="G1034" s="4">
        <v>0</v>
      </c>
      <c r="H1034" s="8">
        <v>0</v>
      </c>
      <c r="I1034" s="4">
        <v>0</v>
      </c>
    </row>
    <row r="1035" spans="1:9" x14ac:dyDescent="0.2">
      <c r="A1035" s="2">
        <v>18</v>
      </c>
      <c r="B1035" s="1" t="s">
        <v>184</v>
      </c>
      <c r="C1035" s="4">
        <v>1</v>
      </c>
      <c r="D1035" s="8">
        <v>1.28</v>
      </c>
      <c r="E1035" s="4">
        <v>1</v>
      </c>
      <c r="F1035" s="8">
        <v>2.44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18</v>
      </c>
      <c r="B1036" s="1" t="s">
        <v>162</v>
      </c>
      <c r="C1036" s="4">
        <v>1</v>
      </c>
      <c r="D1036" s="8">
        <v>1.28</v>
      </c>
      <c r="E1036" s="4">
        <v>1</v>
      </c>
      <c r="F1036" s="8">
        <v>2.44</v>
      </c>
      <c r="G1036" s="4">
        <v>0</v>
      </c>
      <c r="H1036" s="8">
        <v>0</v>
      </c>
      <c r="I1036" s="4">
        <v>0</v>
      </c>
    </row>
    <row r="1037" spans="1:9" x14ac:dyDescent="0.2">
      <c r="A1037" s="2">
        <v>18</v>
      </c>
      <c r="B1037" s="1" t="s">
        <v>241</v>
      </c>
      <c r="C1037" s="4">
        <v>1</v>
      </c>
      <c r="D1037" s="8">
        <v>1.28</v>
      </c>
      <c r="E1037" s="4">
        <v>0</v>
      </c>
      <c r="F1037" s="8">
        <v>0</v>
      </c>
      <c r="G1037" s="4">
        <v>1</v>
      </c>
      <c r="H1037" s="8">
        <v>3.03</v>
      </c>
      <c r="I1037" s="4">
        <v>0</v>
      </c>
    </row>
    <row r="1038" spans="1:9" x14ac:dyDescent="0.2">
      <c r="A1038" s="2">
        <v>18</v>
      </c>
      <c r="B1038" s="1" t="s">
        <v>163</v>
      </c>
      <c r="C1038" s="4">
        <v>1</v>
      </c>
      <c r="D1038" s="8">
        <v>1.28</v>
      </c>
      <c r="E1038" s="4">
        <v>0</v>
      </c>
      <c r="F1038" s="8">
        <v>0</v>
      </c>
      <c r="G1038" s="4">
        <v>1</v>
      </c>
      <c r="H1038" s="8">
        <v>3.03</v>
      </c>
      <c r="I1038" s="4">
        <v>0</v>
      </c>
    </row>
    <row r="1039" spans="1:9" x14ac:dyDescent="0.2">
      <c r="A1039" s="2">
        <v>18</v>
      </c>
      <c r="B1039" s="1" t="s">
        <v>242</v>
      </c>
      <c r="C1039" s="4">
        <v>1</v>
      </c>
      <c r="D1039" s="8">
        <v>1.28</v>
      </c>
      <c r="E1039" s="4">
        <v>1</v>
      </c>
      <c r="F1039" s="8">
        <v>2.44</v>
      </c>
      <c r="G1039" s="4">
        <v>0</v>
      </c>
      <c r="H1039" s="8">
        <v>0</v>
      </c>
      <c r="I1039" s="4">
        <v>0</v>
      </c>
    </row>
    <row r="1040" spans="1:9" x14ac:dyDescent="0.2">
      <c r="A1040" s="2">
        <v>18</v>
      </c>
      <c r="B1040" s="1" t="s">
        <v>186</v>
      </c>
      <c r="C1040" s="4">
        <v>1</v>
      </c>
      <c r="D1040" s="8">
        <v>1.28</v>
      </c>
      <c r="E1040" s="4">
        <v>1</v>
      </c>
      <c r="F1040" s="8">
        <v>2.44</v>
      </c>
      <c r="G1040" s="4">
        <v>0</v>
      </c>
      <c r="H1040" s="8">
        <v>0</v>
      </c>
      <c r="I1040" s="4">
        <v>0</v>
      </c>
    </row>
    <row r="1041" spans="1:9" x14ac:dyDescent="0.2">
      <c r="A1041" s="2">
        <v>18</v>
      </c>
      <c r="B1041" s="1" t="s">
        <v>243</v>
      </c>
      <c r="C1041" s="4">
        <v>1</v>
      </c>
      <c r="D1041" s="8">
        <v>1.28</v>
      </c>
      <c r="E1041" s="4">
        <v>0</v>
      </c>
      <c r="F1041" s="8">
        <v>0</v>
      </c>
      <c r="G1041" s="4">
        <v>1</v>
      </c>
      <c r="H1041" s="8">
        <v>3.03</v>
      </c>
      <c r="I1041" s="4">
        <v>0</v>
      </c>
    </row>
    <row r="1042" spans="1:9" x14ac:dyDescent="0.2">
      <c r="A1042" s="2">
        <v>18</v>
      </c>
      <c r="B1042" s="1" t="s">
        <v>177</v>
      </c>
      <c r="C1042" s="4">
        <v>1</v>
      </c>
      <c r="D1042" s="8">
        <v>1.28</v>
      </c>
      <c r="E1042" s="4">
        <v>1</v>
      </c>
      <c r="F1042" s="8">
        <v>2.44</v>
      </c>
      <c r="G1042" s="4">
        <v>0</v>
      </c>
      <c r="H1042" s="8">
        <v>0</v>
      </c>
      <c r="I1042" s="4">
        <v>0</v>
      </c>
    </row>
    <row r="1043" spans="1:9" x14ac:dyDescent="0.2">
      <c r="A1043" s="2">
        <v>18</v>
      </c>
      <c r="B1043" s="1" t="s">
        <v>246</v>
      </c>
      <c r="C1043" s="4">
        <v>1</v>
      </c>
      <c r="D1043" s="8">
        <v>1.28</v>
      </c>
      <c r="E1043" s="4">
        <v>1</v>
      </c>
      <c r="F1043" s="8">
        <v>2.44</v>
      </c>
      <c r="G1043" s="4">
        <v>0</v>
      </c>
      <c r="H1043" s="8">
        <v>0</v>
      </c>
      <c r="I1043" s="4">
        <v>0</v>
      </c>
    </row>
    <row r="1044" spans="1:9" x14ac:dyDescent="0.2">
      <c r="A1044" s="2">
        <v>18</v>
      </c>
      <c r="B1044" s="1" t="s">
        <v>197</v>
      </c>
      <c r="C1044" s="4">
        <v>1</v>
      </c>
      <c r="D1044" s="8">
        <v>1.28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2">
      <c r="A1045" s="2">
        <v>18</v>
      </c>
      <c r="B1045" s="1" t="s">
        <v>247</v>
      </c>
      <c r="C1045" s="4">
        <v>1</v>
      </c>
      <c r="D1045" s="8">
        <v>1.28</v>
      </c>
      <c r="E1045" s="4">
        <v>0</v>
      </c>
      <c r="F1045" s="8">
        <v>0</v>
      </c>
      <c r="G1045" s="4">
        <v>1</v>
      </c>
      <c r="H1045" s="8">
        <v>3.03</v>
      </c>
      <c r="I1045" s="4">
        <v>0</v>
      </c>
    </row>
    <row r="1046" spans="1:9" x14ac:dyDescent="0.2">
      <c r="A1046" s="2">
        <v>18</v>
      </c>
      <c r="B1046" s="1" t="s">
        <v>248</v>
      </c>
      <c r="C1046" s="4">
        <v>1</v>
      </c>
      <c r="D1046" s="8">
        <v>1.28</v>
      </c>
      <c r="E1046" s="4">
        <v>0</v>
      </c>
      <c r="F1046" s="8">
        <v>0</v>
      </c>
      <c r="G1046" s="4">
        <v>1</v>
      </c>
      <c r="H1046" s="8">
        <v>3.03</v>
      </c>
      <c r="I1046" s="4">
        <v>0</v>
      </c>
    </row>
    <row r="1047" spans="1:9" x14ac:dyDescent="0.2">
      <c r="A1047" s="2">
        <v>18</v>
      </c>
      <c r="B1047" s="1" t="s">
        <v>164</v>
      </c>
      <c r="C1047" s="4">
        <v>1</v>
      </c>
      <c r="D1047" s="8">
        <v>1.28</v>
      </c>
      <c r="E1047" s="4">
        <v>0</v>
      </c>
      <c r="F1047" s="8">
        <v>0</v>
      </c>
      <c r="G1047" s="4">
        <v>1</v>
      </c>
      <c r="H1047" s="8">
        <v>3.03</v>
      </c>
      <c r="I1047" s="4">
        <v>0</v>
      </c>
    </row>
    <row r="1048" spans="1:9" x14ac:dyDescent="0.2">
      <c r="A1048" s="2">
        <v>18</v>
      </c>
      <c r="B1048" s="1" t="s">
        <v>215</v>
      </c>
      <c r="C1048" s="4">
        <v>1</v>
      </c>
      <c r="D1048" s="8">
        <v>1.28</v>
      </c>
      <c r="E1048" s="4">
        <v>1</v>
      </c>
      <c r="F1048" s="8">
        <v>2.44</v>
      </c>
      <c r="G1048" s="4">
        <v>0</v>
      </c>
      <c r="H1048" s="8">
        <v>0</v>
      </c>
      <c r="I1048" s="4">
        <v>0</v>
      </c>
    </row>
    <row r="1049" spans="1:9" x14ac:dyDescent="0.2">
      <c r="A1049" s="2">
        <v>18</v>
      </c>
      <c r="B1049" s="1" t="s">
        <v>139</v>
      </c>
      <c r="C1049" s="4">
        <v>1</v>
      </c>
      <c r="D1049" s="8">
        <v>1.28</v>
      </c>
      <c r="E1049" s="4">
        <v>0</v>
      </c>
      <c r="F1049" s="8">
        <v>0</v>
      </c>
      <c r="G1049" s="4">
        <v>1</v>
      </c>
      <c r="H1049" s="8">
        <v>3.03</v>
      </c>
      <c r="I1049" s="4">
        <v>0</v>
      </c>
    </row>
    <row r="1050" spans="1:9" x14ac:dyDescent="0.2">
      <c r="A1050" s="2">
        <v>18</v>
      </c>
      <c r="B1050" s="1" t="s">
        <v>201</v>
      </c>
      <c r="C1050" s="4">
        <v>1</v>
      </c>
      <c r="D1050" s="8">
        <v>1.28</v>
      </c>
      <c r="E1050" s="4">
        <v>1</v>
      </c>
      <c r="F1050" s="8">
        <v>2.44</v>
      </c>
      <c r="G1050" s="4">
        <v>0</v>
      </c>
      <c r="H1050" s="8">
        <v>0</v>
      </c>
      <c r="I1050" s="4">
        <v>0</v>
      </c>
    </row>
    <row r="1051" spans="1:9" x14ac:dyDescent="0.2">
      <c r="A1051" s="2">
        <v>18</v>
      </c>
      <c r="B1051" s="1" t="s">
        <v>174</v>
      </c>
      <c r="C1051" s="4">
        <v>1</v>
      </c>
      <c r="D1051" s="8">
        <v>1.28</v>
      </c>
      <c r="E1051" s="4">
        <v>0</v>
      </c>
      <c r="F1051" s="8">
        <v>0</v>
      </c>
      <c r="G1051" s="4">
        <v>1</v>
      </c>
      <c r="H1051" s="8">
        <v>3.03</v>
      </c>
      <c r="I1051" s="4">
        <v>0</v>
      </c>
    </row>
    <row r="1052" spans="1:9" x14ac:dyDescent="0.2">
      <c r="A1052" s="2">
        <v>18</v>
      </c>
      <c r="B1052" s="1" t="s">
        <v>249</v>
      </c>
      <c r="C1052" s="4">
        <v>1</v>
      </c>
      <c r="D1052" s="8">
        <v>1.28</v>
      </c>
      <c r="E1052" s="4">
        <v>1</v>
      </c>
      <c r="F1052" s="8">
        <v>2.44</v>
      </c>
      <c r="G1052" s="4">
        <v>0</v>
      </c>
      <c r="H1052" s="8">
        <v>0</v>
      </c>
      <c r="I1052" s="4">
        <v>0</v>
      </c>
    </row>
    <row r="1053" spans="1:9" x14ac:dyDescent="0.2">
      <c r="A1053" s="2">
        <v>18</v>
      </c>
      <c r="B1053" s="1" t="s">
        <v>250</v>
      </c>
      <c r="C1053" s="4">
        <v>1</v>
      </c>
      <c r="D1053" s="8">
        <v>1.28</v>
      </c>
      <c r="E1053" s="4">
        <v>0</v>
      </c>
      <c r="F1053" s="8">
        <v>0</v>
      </c>
      <c r="G1053" s="4">
        <v>1</v>
      </c>
      <c r="H1053" s="8">
        <v>3.03</v>
      </c>
      <c r="I1053" s="4">
        <v>0</v>
      </c>
    </row>
    <row r="1054" spans="1:9" x14ac:dyDescent="0.2">
      <c r="A1054" s="2">
        <v>18</v>
      </c>
      <c r="B1054" s="1" t="s">
        <v>251</v>
      </c>
      <c r="C1054" s="4">
        <v>1</v>
      </c>
      <c r="D1054" s="8">
        <v>1.28</v>
      </c>
      <c r="E1054" s="4">
        <v>0</v>
      </c>
      <c r="F1054" s="8">
        <v>0</v>
      </c>
      <c r="G1054" s="4">
        <v>1</v>
      </c>
      <c r="H1054" s="8">
        <v>3.03</v>
      </c>
      <c r="I1054" s="4">
        <v>0</v>
      </c>
    </row>
    <row r="1055" spans="1:9" x14ac:dyDescent="0.2">
      <c r="A1055" s="2">
        <v>18</v>
      </c>
      <c r="B1055" s="1" t="s">
        <v>148</v>
      </c>
      <c r="C1055" s="4">
        <v>1</v>
      </c>
      <c r="D1055" s="8">
        <v>1.28</v>
      </c>
      <c r="E1055" s="4">
        <v>1</v>
      </c>
      <c r="F1055" s="8">
        <v>2.44</v>
      </c>
      <c r="G1055" s="4">
        <v>0</v>
      </c>
      <c r="H1055" s="8">
        <v>0</v>
      </c>
      <c r="I1055" s="4">
        <v>0</v>
      </c>
    </row>
    <row r="1056" spans="1:9" x14ac:dyDescent="0.2">
      <c r="A1056" s="2">
        <v>18</v>
      </c>
      <c r="B1056" s="1" t="s">
        <v>149</v>
      </c>
      <c r="C1056" s="4">
        <v>1</v>
      </c>
      <c r="D1056" s="8">
        <v>1.28</v>
      </c>
      <c r="E1056" s="4">
        <v>1</v>
      </c>
      <c r="F1056" s="8">
        <v>2.44</v>
      </c>
      <c r="G1056" s="4">
        <v>0</v>
      </c>
      <c r="H1056" s="8">
        <v>0</v>
      </c>
      <c r="I1056" s="4">
        <v>0</v>
      </c>
    </row>
    <row r="1057" spans="1:9" x14ac:dyDescent="0.2">
      <c r="A1057" s="2">
        <v>18</v>
      </c>
      <c r="B1057" s="1" t="s">
        <v>160</v>
      </c>
      <c r="C1057" s="4">
        <v>1</v>
      </c>
      <c r="D1057" s="8">
        <v>1.28</v>
      </c>
      <c r="E1057" s="4">
        <v>1</v>
      </c>
      <c r="F1057" s="8">
        <v>2.44</v>
      </c>
      <c r="G1057" s="4">
        <v>0</v>
      </c>
      <c r="H1057" s="8">
        <v>0</v>
      </c>
      <c r="I1057" s="4">
        <v>0</v>
      </c>
    </row>
    <row r="1058" spans="1:9" x14ac:dyDescent="0.2">
      <c r="A1058" s="2">
        <v>18</v>
      </c>
      <c r="B1058" s="1" t="s">
        <v>252</v>
      </c>
      <c r="C1058" s="4">
        <v>1</v>
      </c>
      <c r="D1058" s="8">
        <v>1.28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2">
      <c r="A1059" s="2">
        <v>18</v>
      </c>
      <c r="B1059" s="1" t="s">
        <v>152</v>
      </c>
      <c r="C1059" s="4">
        <v>1</v>
      </c>
      <c r="D1059" s="8">
        <v>1.28</v>
      </c>
      <c r="E1059" s="4">
        <v>0</v>
      </c>
      <c r="F1059" s="8">
        <v>0</v>
      </c>
      <c r="G1059" s="4">
        <v>1</v>
      </c>
      <c r="H1059" s="8">
        <v>3.03</v>
      </c>
      <c r="I1059" s="4">
        <v>0</v>
      </c>
    </row>
    <row r="1060" spans="1:9" x14ac:dyDescent="0.2">
      <c r="A1060" s="2">
        <v>18</v>
      </c>
      <c r="B1060" s="1" t="s">
        <v>253</v>
      </c>
      <c r="C1060" s="4">
        <v>1</v>
      </c>
      <c r="D1060" s="8">
        <v>1.28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2">
      <c r="A1061" s="2">
        <v>18</v>
      </c>
      <c r="B1061" s="1" t="s">
        <v>212</v>
      </c>
      <c r="C1061" s="4">
        <v>1</v>
      </c>
      <c r="D1061" s="8">
        <v>1.28</v>
      </c>
      <c r="E1061" s="4">
        <v>0</v>
      </c>
      <c r="F1061" s="8">
        <v>0</v>
      </c>
      <c r="G1061" s="4">
        <v>1</v>
      </c>
      <c r="H1061" s="8">
        <v>3.03</v>
      </c>
      <c r="I1061" s="4">
        <v>0</v>
      </c>
    </row>
    <row r="1062" spans="1:9" x14ac:dyDescent="0.2">
      <c r="A1062" s="2">
        <v>18</v>
      </c>
      <c r="B1062" s="1" t="s">
        <v>182</v>
      </c>
      <c r="C1062" s="4">
        <v>1</v>
      </c>
      <c r="D1062" s="8">
        <v>1.28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2">
      <c r="A1063" s="1"/>
      <c r="C1063" s="4"/>
      <c r="D1063" s="8"/>
      <c r="E1063" s="4"/>
      <c r="F1063" s="8"/>
      <c r="G1063" s="4"/>
      <c r="H1063" s="8"/>
      <c r="I1063" s="4"/>
    </row>
    <row r="1064" spans="1:9" x14ac:dyDescent="0.2">
      <c r="A1064" s="1" t="s">
        <v>41</v>
      </c>
      <c r="C1064" s="4"/>
      <c r="D1064" s="8"/>
      <c r="E1064" s="4"/>
      <c r="F1064" s="8"/>
      <c r="G1064" s="4"/>
      <c r="H1064" s="8"/>
      <c r="I1064" s="4"/>
    </row>
    <row r="1065" spans="1:9" x14ac:dyDescent="0.2">
      <c r="A1065" s="2">
        <v>1</v>
      </c>
      <c r="B1065" s="1" t="s">
        <v>151</v>
      </c>
      <c r="C1065" s="4">
        <v>14</v>
      </c>
      <c r="D1065" s="8">
        <v>6.14</v>
      </c>
      <c r="E1065" s="4">
        <v>11</v>
      </c>
      <c r="F1065" s="8">
        <v>8.94</v>
      </c>
      <c r="G1065" s="4">
        <v>3</v>
      </c>
      <c r="H1065" s="8">
        <v>2.94</v>
      </c>
      <c r="I1065" s="4">
        <v>0</v>
      </c>
    </row>
    <row r="1066" spans="1:9" x14ac:dyDescent="0.2">
      <c r="A1066" s="2">
        <v>2</v>
      </c>
      <c r="B1066" s="1" t="s">
        <v>141</v>
      </c>
      <c r="C1066" s="4">
        <v>11</v>
      </c>
      <c r="D1066" s="8">
        <v>4.82</v>
      </c>
      <c r="E1066" s="4">
        <v>8</v>
      </c>
      <c r="F1066" s="8">
        <v>6.5</v>
      </c>
      <c r="G1066" s="4">
        <v>3</v>
      </c>
      <c r="H1066" s="8">
        <v>2.94</v>
      </c>
      <c r="I1066" s="4">
        <v>0</v>
      </c>
    </row>
    <row r="1067" spans="1:9" x14ac:dyDescent="0.2">
      <c r="A1067" s="2">
        <v>3</v>
      </c>
      <c r="B1067" s="1" t="s">
        <v>154</v>
      </c>
      <c r="C1067" s="4">
        <v>8</v>
      </c>
      <c r="D1067" s="8">
        <v>3.51</v>
      </c>
      <c r="E1067" s="4">
        <v>8</v>
      </c>
      <c r="F1067" s="8">
        <v>6.5</v>
      </c>
      <c r="G1067" s="4">
        <v>0</v>
      </c>
      <c r="H1067" s="8">
        <v>0</v>
      </c>
      <c r="I1067" s="4">
        <v>0</v>
      </c>
    </row>
    <row r="1068" spans="1:9" x14ac:dyDescent="0.2">
      <c r="A1068" s="2">
        <v>4</v>
      </c>
      <c r="B1068" s="1" t="s">
        <v>153</v>
      </c>
      <c r="C1068" s="4">
        <v>7</v>
      </c>
      <c r="D1068" s="8">
        <v>3.07</v>
      </c>
      <c r="E1068" s="4">
        <v>6</v>
      </c>
      <c r="F1068" s="8">
        <v>4.88</v>
      </c>
      <c r="G1068" s="4">
        <v>1</v>
      </c>
      <c r="H1068" s="8">
        <v>0.98</v>
      </c>
      <c r="I1068" s="4">
        <v>0</v>
      </c>
    </row>
    <row r="1069" spans="1:9" x14ac:dyDescent="0.2">
      <c r="A1069" s="2">
        <v>5</v>
      </c>
      <c r="B1069" s="1" t="s">
        <v>135</v>
      </c>
      <c r="C1069" s="4">
        <v>6</v>
      </c>
      <c r="D1069" s="8">
        <v>2.63</v>
      </c>
      <c r="E1069" s="4">
        <v>0</v>
      </c>
      <c r="F1069" s="8">
        <v>0</v>
      </c>
      <c r="G1069" s="4">
        <v>6</v>
      </c>
      <c r="H1069" s="8">
        <v>5.88</v>
      </c>
      <c r="I1069" s="4">
        <v>0</v>
      </c>
    </row>
    <row r="1070" spans="1:9" x14ac:dyDescent="0.2">
      <c r="A1070" s="2">
        <v>5</v>
      </c>
      <c r="B1070" s="1" t="s">
        <v>138</v>
      </c>
      <c r="C1070" s="4">
        <v>6</v>
      </c>
      <c r="D1070" s="8">
        <v>2.63</v>
      </c>
      <c r="E1070" s="4">
        <v>4</v>
      </c>
      <c r="F1070" s="8">
        <v>3.25</v>
      </c>
      <c r="G1070" s="4">
        <v>2</v>
      </c>
      <c r="H1070" s="8">
        <v>1.96</v>
      </c>
      <c r="I1070" s="4">
        <v>0</v>
      </c>
    </row>
    <row r="1071" spans="1:9" x14ac:dyDescent="0.2">
      <c r="A1071" s="2">
        <v>5</v>
      </c>
      <c r="B1071" s="1" t="s">
        <v>147</v>
      </c>
      <c r="C1071" s="4">
        <v>6</v>
      </c>
      <c r="D1071" s="8">
        <v>2.63</v>
      </c>
      <c r="E1071" s="4">
        <v>5</v>
      </c>
      <c r="F1071" s="8">
        <v>4.07</v>
      </c>
      <c r="G1071" s="4">
        <v>1</v>
      </c>
      <c r="H1071" s="8">
        <v>0.98</v>
      </c>
      <c r="I1071" s="4">
        <v>0</v>
      </c>
    </row>
    <row r="1072" spans="1:9" x14ac:dyDescent="0.2">
      <c r="A1072" s="2">
        <v>8</v>
      </c>
      <c r="B1072" s="1" t="s">
        <v>185</v>
      </c>
      <c r="C1072" s="4">
        <v>5</v>
      </c>
      <c r="D1072" s="8">
        <v>2.19</v>
      </c>
      <c r="E1072" s="4">
        <v>4</v>
      </c>
      <c r="F1072" s="8">
        <v>3.25</v>
      </c>
      <c r="G1072" s="4">
        <v>1</v>
      </c>
      <c r="H1072" s="8">
        <v>0.98</v>
      </c>
      <c r="I1072" s="4">
        <v>0</v>
      </c>
    </row>
    <row r="1073" spans="1:9" x14ac:dyDescent="0.2">
      <c r="A1073" s="2">
        <v>8</v>
      </c>
      <c r="B1073" s="1" t="s">
        <v>139</v>
      </c>
      <c r="C1073" s="4">
        <v>5</v>
      </c>
      <c r="D1073" s="8">
        <v>2.19</v>
      </c>
      <c r="E1073" s="4">
        <v>2</v>
      </c>
      <c r="F1073" s="8">
        <v>1.63</v>
      </c>
      <c r="G1073" s="4">
        <v>3</v>
      </c>
      <c r="H1073" s="8">
        <v>2.94</v>
      </c>
      <c r="I1073" s="4">
        <v>0</v>
      </c>
    </row>
    <row r="1074" spans="1:9" x14ac:dyDescent="0.2">
      <c r="A1074" s="2">
        <v>8</v>
      </c>
      <c r="B1074" s="1" t="s">
        <v>174</v>
      </c>
      <c r="C1074" s="4">
        <v>5</v>
      </c>
      <c r="D1074" s="8">
        <v>2.19</v>
      </c>
      <c r="E1074" s="4">
        <v>3</v>
      </c>
      <c r="F1074" s="8">
        <v>2.44</v>
      </c>
      <c r="G1074" s="4">
        <v>2</v>
      </c>
      <c r="H1074" s="8">
        <v>1.96</v>
      </c>
      <c r="I1074" s="4">
        <v>0</v>
      </c>
    </row>
    <row r="1075" spans="1:9" x14ac:dyDescent="0.2">
      <c r="A1075" s="2">
        <v>8</v>
      </c>
      <c r="B1075" s="1" t="s">
        <v>140</v>
      </c>
      <c r="C1075" s="4">
        <v>5</v>
      </c>
      <c r="D1075" s="8">
        <v>2.19</v>
      </c>
      <c r="E1075" s="4">
        <v>2</v>
      </c>
      <c r="F1075" s="8">
        <v>1.63</v>
      </c>
      <c r="G1075" s="4">
        <v>3</v>
      </c>
      <c r="H1075" s="8">
        <v>2.94</v>
      </c>
      <c r="I1075" s="4">
        <v>0</v>
      </c>
    </row>
    <row r="1076" spans="1:9" x14ac:dyDescent="0.2">
      <c r="A1076" s="2">
        <v>8</v>
      </c>
      <c r="B1076" s="1" t="s">
        <v>150</v>
      </c>
      <c r="C1076" s="4">
        <v>5</v>
      </c>
      <c r="D1076" s="8">
        <v>2.19</v>
      </c>
      <c r="E1076" s="4">
        <v>5</v>
      </c>
      <c r="F1076" s="8">
        <v>4.07</v>
      </c>
      <c r="G1076" s="4">
        <v>0</v>
      </c>
      <c r="H1076" s="8">
        <v>0</v>
      </c>
      <c r="I1076" s="4">
        <v>0</v>
      </c>
    </row>
    <row r="1077" spans="1:9" x14ac:dyDescent="0.2">
      <c r="A1077" s="2">
        <v>13</v>
      </c>
      <c r="B1077" s="1" t="s">
        <v>254</v>
      </c>
      <c r="C1077" s="4">
        <v>4</v>
      </c>
      <c r="D1077" s="8">
        <v>1.75</v>
      </c>
      <c r="E1077" s="4">
        <v>3</v>
      </c>
      <c r="F1077" s="8">
        <v>2.44</v>
      </c>
      <c r="G1077" s="4">
        <v>1</v>
      </c>
      <c r="H1077" s="8">
        <v>0.98</v>
      </c>
      <c r="I1077" s="4">
        <v>0</v>
      </c>
    </row>
    <row r="1078" spans="1:9" x14ac:dyDescent="0.2">
      <c r="A1078" s="2">
        <v>13</v>
      </c>
      <c r="B1078" s="1" t="s">
        <v>143</v>
      </c>
      <c r="C1078" s="4">
        <v>4</v>
      </c>
      <c r="D1078" s="8">
        <v>1.75</v>
      </c>
      <c r="E1078" s="4">
        <v>0</v>
      </c>
      <c r="F1078" s="8">
        <v>0</v>
      </c>
      <c r="G1078" s="4">
        <v>4</v>
      </c>
      <c r="H1078" s="8">
        <v>3.92</v>
      </c>
      <c r="I1078" s="4">
        <v>0</v>
      </c>
    </row>
    <row r="1079" spans="1:9" x14ac:dyDescent="0.2">
      <c r="A1079" s="2">
        <v>13</v>
      </c>
      <c r="B1079" s="1" t="s">
        <v>227</v>
      </c>
      <c r="C1079" s="4">
        <v>4</v>
      </c>
      <c r="D1079" s="8">
        <v>1.75</v>
      </c>
      <c r="E1079" s="4">
        <v>3</v>
      </c>
      <c r="F1079" s="8">
        <v>2.44</v>
      </c>
      <c r="G1079" s="4">
        <v>1</v>
      </c>
      <c r="H1079" s="8">
        <v>0.98</v>
      </c>
      <c r="I1079" s="4">
        <v>0</v>
      </c>
    </row>
    <row r="1080" spans="1:9" x14ac:dyDescent="0.2">
      <c r="A1080" s="2">
        <v>13</v>
      </c>
      <c r="B1080" s="1" t="s">
        <v>171</v>
      </c>
      <c r="C1080" s="4">
        <v>4</v>
      </c>
      <c r="D1080" s="8">
        <v>1.75</v>
      </c>
      <c r="E1080" s="4">
        <v>3</v>
      </c>
      <c r="F1080" s="8">
        <v>2.44</v>
      </c>
      <c r="G1080" s="4">
        <v>1</v>
      </c>
      <c r="H1080" s="8">
        <v>0.98</v>
      </c>
      <c r="I1080" s="4">
        <v>0</v>
      </c>
    </row>
    <row r="1081" spans="1:9" x14ac:dyDescent="0.2">
      <c r="A1081" s="2">
        <v>17</v>
      </c>
      <c r="B1081" s="1" t="s">
        <v>136</v>
      </c>
      <c r="C1081" s="4">
        <v>3</v>
      </c>
      <c r="D1081" s="8">
        <v>1.32</v>
      </c>
      <c r="E1081" s="4">
        <v>2</v>
      </c>
      <c r="F1081" s="8">
        <v>1.63</v>
      </c>
      <c r="G1081" s="4">
        <v>1</v>
      </c>
      <c r="H1081" s="8">
        <v>0.98</v>
      </c>
      <c r="I1081" s="4">
        <v>0</v>
      </c>
    </row>
    <row r="1082" spans="1:9" x14ac:dyDescent="0.2">
      <c r="A1082" s="2">
        <v>17</v>
      </c>
      <c r="B1082" s="1" t="s">
        <v>137</v>
      </c>
      <c r="C1082" s="4">
        <v>3</v>
      </c>
      <c r="D1082" s="8">
        <v>1.32</v>
      </c>
      <c r="E1082" s="4">
        <v>1</v>
      </c>
      <c r="F1082" s="8">
        <v>0.81</v>
      </c>
      <c r="G1082" s="4">
        <v>2</v>
      </c>
      <c r="H1082" s="8">
        <v>1.96</v>
      </c>
      <c r="I1082" s="4">
        <v>0</v>
      </c>
    </row>
    <row r="1083" spans="1:9" x14ac:dyDescent="0.2">
      <c r="A1083" s="2">
        <v>17</v>
      </c>
      <c r="B1083" s="1" t="s">
        <v>233</v>
      </c>
      <c r="C1083" s="4">
        <v>3</v>
      </c>
      <c r="D1083" s="8">
        <v>1.32</v>
      </c>
      <c r="E1083" s="4">
        <v>0</v>
      </c>
      <c r="F1083" s="8">
        <v>0</v>
      </c>
      <c r="G1083" s="4">
        <v>3</v>
      </c>
      <c r="H1083" s="8">
        <v>2.94</v>
      </c>
      <c r="I1083" s="4">
        <v>0</v>
      </c>
    </row>
    <row r="1084" spans="1:9" x14ac:dyDescent="0.2">
      <c r="A1084" s="2">
        <v>17</v>
      </c>
      <c r="B1084" s="1" t="s">
        <v>219</v>
      </c>
      <c r="C1084" s="4">
        <v>3</v>
      </c>
      <c r="D1084" s="8">
        <v>1.32</v>
      </c>
      <c r="E1084" s="4">
        <v>0</v>
      </c>
      <c r="F1084" s="8">
        <v>0</v>
      </c>
      <c r="G1084" s="4">
        <v>3</v>
      </c>
      <c r="H1084" s="8">
        <v>2.94</v>
      </c>
      <c r="I1084" s="4">
        <v>0</v>
      </c>
    </row>
    <row r="1085" spans="1:9" x14ac:dyDescent="0.2">
      <c r="A1085" s="2">
        <v>17</v>
      </c>
      <c r="B1085" s="1" t="s">
        <v>202</v>
      </c>
      <c r="C1085" s="4">
        <v>3</v>
      </c>
      <c r="D1085" s="8">
        <v>1.32</v>
      </c>
      <c r="E1085" s="4">
        <v>3</v>
      </c>
      <c r="F1085" s="8">
        <v>2.44</v>
      </c>
      <c r="G1085" s="4">
        <v>0</v>
      </c>
      <c r="H1085" s="8">
        <v>0</v>
      </c>
      <c r="I1085" s="4">
        <v>0</v>
      </c>
    </row>
    <row r="1086" spans="1:9" x14ac:dyDescent="0.2">
      <c r="A1086" s="2">
        <v>17</v>
      </c>
      <c r="B1086" s="1" t="s">
        <v>203</v>
      </c>
      <c r="C1086" s="4">
        <v>3</v>
      </c>
      <c r="D1086" s="8">
        <v>1.32</v>
      </c>
      <c r="E1086" s="4">
        <v>0</v>
      </c>
      <c r="F1086" s="8">
        <v>0</v>
      </c>
      <c r="G1086" s="4">
        <v>3</v>
      </c>
      <c r="H1086" s="8">
        <v>2.94</v>
      </c>
      <c r="I1086" s="4">
        <v>0</v>
      </c>
    </row>
    <row r="1087" spans="1:9" x14ac:dyDescent="0.2">
      <c r="A1087" s="2">
        <v>17</v>
      </c>
      <c r="B1087" s="1" t="s">
        <v>168</v>
      </c>
      <c r="C1087" s="4">
        <v>3</v>
      </c>
      <c r="D1087" s="8">
        <v>1.32</v>
      </c>
      <c r="E1087" s="4">
        <v>0</v>
      </c>
      <c r="F1087" s="8">
        <v>0</v>
      </c>
      <c r="G1087" s="4">
        <v>3</v>
      </c>
      <c r="H1087" s="8">
        <v>2.94</v>
      </c>
      <c r="I1087" s="4">
        <v>0</v>
      </c>
    </row>
    <row r="1088" spans="1:9" x14ac:dyDescent="0.2">
      <c r="A1088" s="2">
        <v>17</v>
      </c>
      <c r="B1088" s="1" t="s">
        <v>146</v>
      </c>
      <c r="C1088" s="4">
        <v>3</v>
      </c>
      <c r="D1088" s="8">
        <v>1.32</v>
      </c>
      <c r="E1088" s="4">
        <v>1</v>
      </c>
      <c r="F1088" s="8">
        <v>0.81</v>
      </c>
      <c r="G1088" s="4">
        <v>2</v>
      </c>
      <c r="H1088" s="8">
        <v>1.96</v>
      </c>
      <c r="I1088" s="4">
        <v>0</v>
      </c>
    </row>
    <row r="1089" spans="1:9" x14ac:dyDescent="0.2">
      <c r="A1089" s="2">
        <v>17</v>
      </c>
      <c r="B1089" s="1" t="s">
        <v>148</v>
      </c>
      <c r="C1089" s="4">
        <v>3</v>
      </c>
      <c r="D1089" s="8">
        <v>1.32</v>
      </c>
      <c r="E1089" s="4">
        <v>3</v>
      </c>
      <c r="F1089" s="8">
        <v>2.44</v>
      </c>
      <c r="G1089" s="4">
        <v>0</v>
      </c>
      <c r="H1089" s="8">
        <v>0</v>
      </c>
      <c r="I1089" s="4">
        <v>0</v>
      </c>
    </row>
    <row r="1090" spans="1:9" x14ac:dyDescent="0.2">
      <c r="A1090" s="2">
        <v>17</v>
      </c>
      <c r="B1090" s="1" t="s">
        <v>255</v>
      </c>
      <c r="C1090" s="4">
        <v>3</v>
      </c>
      <c r="D1090" s="8">
        <v>1.32</v>
      </c>
      <c r="E1090" s="4">
        <v>0</v>
      </c>
      <c r="F1090" s="8">
        <v>0</v>
      </c>
      <c r="G1090" s="4">
        <v>3</v>
      </c>
      <c r="H1090" s="8">
        <v>2.94</v>
      </c>
      <c r="I1090" s="4">
        <v>0</v>
      </c>
    </row>
    <row r="1091" spans="1:9" x14ac:dyDescent="0.2">
      <c r="A1091" s="2">
        <v>17</v>
      </c>
      <c r="B1091" s="1" t="s">
        <v>152</v>
      </c>
      <c r="C1091" s="4">
        <v>3</v>
      </c>
      <c r="D1091" s="8">
        <v>1.32</v>
      </c>
      <c r="E1091" s="4">
        <v>3</v>
      </c>
      <c r="F1091" s="8">
        <v>2.44</v>
      </c>
      <c r="G1091" s="4">
        <v>0</v>
      </c>
      <c r="H1091" s="8">
        <v>0</v>
      </c>
      <c r="I1091" s="4">
        <v>0</v>
      </c>
    </row>
    <row r="1092" spans="1:9" x14ac:dyDescent="0.2">
      <c r="A1092" s="2">
        <v>17</v>
      </c>
      <c r="B1092" s="1" t="s">
        <v>210</v>
      </c>
      <c r="C1092" s="4">
        <v>3</v>
      </c>
      <c r="D1092" s="8">
        <v>1.32</v>
      </c>
      <c r="E1092" s="4">
        <v>3</v>
      </c>
      <c r="F1092" s="8">
        <v>2.44</v>
      </c>
      <c r="G1092" s="4">
        <v>0</v>
      </c>
      <c r="H1092" s="8">
        <v>0</v>
      </c>
      <c r="I1092" s="4">
        <v>0</v>
      </c>
    </row>
    <row r="1093" spans="1:9" x14ac:dyDescent="0.2">
      <c r="A1093" s="1"/>
      <c r="C1093" s="4"/>
      <c r="D1093" s="8"/>
      <c r="E1093" s="4"/>
      <c r="F1093" s="8"/>
      <c r="G1093" s="4"/>
      <c r="H1093" s="8"/>
      <c r="I1093" s="4"/>
    </row>
    <row r="1094" spans="1:9" x14ac:dyDescent="0.2">
      <c r="A1094" s="1" t="s">
        <v>42</v>
      </c>
      <c r="C1094" s="4"/>
      <c r="D1094" s="8"/>
      <c r="E1094" s="4"/>
      <c r="F1094" s="8"/>
      <c r="G1094" s="4"/>
      <c r="H1094" s="8"/>
      <c r="I1094" s="4"/>
    </row>
    <row r="1095" spans="1:9" x14ac:dyDescent="0.2">
      <c r="A1095" s="2">
        <v>1</v>
      </c>
      <c r="B1095" s="1" t="s">
        <v>150</v>
      </c>
      <c r="C1095" s="4">
        <v>20</v>
      </c>
      <c r="D1095" s="8">
        <v>7.69</v>
      </c>
      <c r="E1095" s="4">
        <v>20</v>
      </c>
      <c r="F1095" s="8">
        <v>11.3</v>
      </c>
      <c r="G1095" s="4">
        <v>0</v>
      </c>
      <c r="H1095" s="8">
        <v>0</v>
      </c>
      <c r="I1095" s="4">
        <v>0</v>
      </c>
    </row>
    <row r="1096" spans="1:9" x14ac:dyDescent="0.2">
      <c r="A1096" s="2">
        <v>2</v>
      </c>
      <c r="B1096" s="1" t="s">
        <v>151</v>
      </c>
      <c r="C1096" s="4">
        <v>19</v>
      </c>
      <c r="D1096" s="8">
        <v>7.31</v>
      </c>
      <c r="E1096" s="4">
        <v>19</v>
      </c>
      <c r="F1096" s="8">
        <v>10.73</v>
      </c>
      <c r="G1096" s="4">
        <v>0</v>
      </c>
      <c r="H1096" s="8">
        <v>0</v>
      </c>
      <c r="I1096" s="4">
        <v>0</v>
      </c>
    </row>
    <row r="1097" spans="1:9" x14ac:dyDescent="0.2">
      <c r="A1097" s="2">
        <v>3</v>
      </c>
      <c r="B1097" s="1" t="s">
        <v>149</v>
      </c>
      <c r="C1097" s="4">
        <v>15</v>
      </c>
      <c r="D1097" s="8">
        <v>5.77</v>
      </c>
      <c r="E1097" s="4">
        <v>15</v>
      </c>
      <c r="F1097" s="8">
        <v>8.4700000000000006</v>
      </c>
      <c r="G1097" s="4">
        <v>0</v>
      </c>
      <c r="H1097" s="8">
        <v>0</v>
      </c>
      <c r="I1097" s="4">
        <v>0</v>
      </c>
    </row>
    <row r="1098" spans="1:9" x14ac:dyDescent="0.2">
      <c r="A1098" s="2">
        <v>4</v>
      </c>
      <c r="B1098" s="1" t="s">
        <v>148</v>
      </c>
      <c r="C1098" s="4">
        <v>11</v>
      </c>
      <c r="D1098" s="8">
        <v>4.2300000000000004</v>
      </c>
      <c r="E1098" s="4">
        <v>11</v>
      </c>
      <c r="F1098" s="8">
        <v>6.21</v>
      </c>
      <c r="G1098" s="4">
        <v>0</v>
      </c>
      <c r="H1098" s="8">
        <v>0</v>
      </c>
      <c r="I1098" s="4">
        <v>0</v>
      </c>
    </row>
    <row r="1099" spans="1:9" x14ac:dyDescent="0.2">
      <c r="A1099" s="2">
        <v>5</v>
      </c>
      <c r="B1099" s="1" t="s">
        <v>138</v>
      </c>
      <c r="C1099" s="4">
        <v>6</v>
      </c>
      <c r="D1099" s="8">
        <v>2.31</v>
      </c>
      <c r="E1099" s="4">
        <v>2</v>
      </c>
      <c r="F1099" s="8">
        <v>1.1299999999999999</v>
      </c>
      <c r="G1099" s="4">
        <v>4</v>
      </c>
      <c r="H1099" s="8">
        <v>5.13</v>
      </c>
      <c r="I1099" s="4">
        <v>0</v>
      </c>
    </row>
    <row r="1100" spans="1:9" x14ac:dyDescent="0.2">
      <c r="A1100" s="2">
        <v>5</v>
      </c>
      <c r="B1100" s="1" t="s">
        <v>141</v>
      </c>
      <c r="C1100" s="4">
        <v>6</v>
      </c>
      <c r="D1100" s="8">
        <v>2.31</v>
      </c>
      <c r="E1100" s="4">
        <v>2</v>
      </c>
      <c r="F1100" s="8">
        <v>1.1299999999999999</v>
      </c>
      <c r="G1100" s="4">
        <v>4</v>
      </c>
      <c r="H1100" s="8">
        <v>5.13</v>
      </c>
      <c r="I1100" s="4">
        <v>0</v>
      </c>
    </row>
    <row r="1101" spans="1:9" x14ac:dyDescent="0.2">
      <c r="A1101" s="2">
        <v>5</v>
      </c>
      <c r="B1101" s="1" t="s">
        <v>168</v>
      </c>
      <c r="C1101" s="4">
        <v>6</v>
      </c>
      <c r="D1101" s="8">
        <v>2.31</v>
      </c>
      <c r="E1101" s="4">
        <v>3</v>
      </c>
      <c r="F1101" s="8">
        <v>1.69</v>
      </c>
      <c r="G1101" s="4">
        <v>3</v>
      </c>
      <c r="H1101" s="8">
        <v>3.85</v>
      </c>
      <c r="I1101" s="4">
        <v>0</v>
      </c>
    </row>
    <row r="1102" spans="1:9" x14ac:dyDescent="0.2">
      <c r="A1102" s="2">
        <v>5</v>
      </c>
      <c r="B1102" s="1" t="s">
        <v>146</v>
      </c>
      <c r="C1102" s="4">
        <v>6</v>
      </c>
      <c r="D1102" s="8">
        <v>2.31</v>
      </c>
      <c r="E1102" s="4">
        <v>5</v>
      </c>
      <c r="F1102" s="8">
        <v>2.82</v>
      </c>
      <c r="G1102" s="4">
        <v>1</v>
      </c>
      <c r="H1102" s="8">
        <v>1.28</v>
      </c>
      <c r="I1102" s="4">
        <v>0</v>
      </c>
    </row>
    <row r="1103" spans="1:9" x14ac:dyDescent="0.2">
      <c r="A1103" s="2">
        <v>5</v>
      </c>
      <c r="B1103" s="1" t="s">
        <v>152</v>
      </c>
      <c r="C1103" s="4">
        <v>6</v>
      </c>
      <c r="D1103" s="8">
        <v>2.31</v>
      </c>
      <c r="E1103" s="4">
        <v>3</v>
      </c>
      <c r="F1103" s="8">
        <v>1.69</v>
      </c>
      <c r="G1103" s="4">
        <v>2</v>
      </c>
      <c r="H1103" s="8">
        <v>2.56</v>
      </c>
      <c r="I1103" s="4">
        <v>1</v>
      </c>
    </row>
    <row r="1104" spans="1:9" x14ac:dyDescent="0.2">
      <c r="A1104" s="2">
        <v>10</v>
      </c>
      <c r="B1104" s="1" t="s">
        <v>137</v>
      </c>
      <c r="C1104" s="4">
        <v>5</v>
      </c>
      <c r="D1104" s="8">
        <v>1.92</v>
      </c>
      <c r="E1104" s="4">
        <v>4</v>
      </c>
      <c r="F1104" s="8">
        <v>2.2599999999999998</v>
      </c>
      <c r="G1104" s="4">
        <v>1</v>
      </c>
      <c r="H1104" s="8">
        <v>1.28</v>
      </c>
      <c r="I1104" s="4">
        <v>0</v>
      </c>
    </row>
    <row r="1105" spans="1:9" x14ac:dyDescent="0.2">
      <c r="A1105" s="2">
        <v>10</v>
      </c>
      <c r="B1105" s="1" t="s">
        <v>186</v>
      </c>
      <c r="C1105" s="4">
        <v>5</v>
      </c>
      <c r="D1105" s="8">
        <v>1.92</v>
      </c>
      <c r="E1105" s="4">
        <v>2</v>
      </c>
      <c r="F1105" s="8">
        <v>1.1299999999999999</v>
      </c>
      <c r="G1105" s="4">
        <v>3</v>
      </c>
      <c r="H1105" s="8">
        <v>3.85</v>
      </c>
      <c r="I1105" s="4">
        <v>0</v>
      </c>
    </row>
    <row r="1106" spans="1:9" x14ac:dyDescent="0.2">
      <c r="A1106" s="2">
        <v>10</v>
      </c>
      <c r="B1106" s="1" t="s">
        <v>143</v>
      </c>
      <c r="C1106" s="4">
        <v>5</v>
      </c>
      <c r="D1106" s="8">
        <v>1.92</v>
      </c>
      <c r="E1106" s="4">
        <v>4</v>
      </c>
      <c r="F1106" s="8">
        <v>2.2599999999999998</v>
      </c>
      <c r="G1106" s="4">
        <v>1</v>
      </c>
      <c r="H1106" s="8">
        <v>1.28</v>
      </c>
      <c r="I1106" s="4">
        <v>0</v>
      </c>
    </row>
    <row r="1107" spans="1:9" x14ac:dyDescent="0.2">
      <c r="A1107" s="2">
        <v>10</v>
      </c>
      <c r="B1107" s="1" t="s">
        <v>160</v>
      </c>
      <c r="C1107" s="4">
        <v>5</v>
      </c>
      <c r="D1107" s="8">
        <v>1.92</v>
      </c>
      <c r="E1107" s="4">
        <v>3</v>
      </c>
      <c r="F1107" s="8">
        <v>1.69</v>
      </c>
      <c r="G1107" s="4">
        <v>2</v>
      </c>
      <c r="H1107" s="8">
        <v>2.56</v>
      </c>
      <c r="I1107" s="4">
        <v>0</v>
      </c>
    </row>
    <row r="1108" spans="1:9" x14ac:dyDescent="0.2">
      <c r="A1108" s="2">
        <v>10</v>
      </c>
      <c r="B1108" s="1" t="s">
        <v>154</v>
      </c>
      <c r="C1108" s="4">
        <v>5</v>
      </c>
      <c r="D1108" s="8">
        <v>1.92</v>
      </c>
      <c r="E1108" s="4">
        <v>4</v>
      </c>
      <c r="F1108" s="8">
        <v>2.2599999999999998</v>
      </c>
      <c r="G1108" s="4">
        <v>1</v>
      </c>
      <c r="H1108" s="8">
        <v>1.28</v>
      </c>
      <c r="I1108" s="4">
        <v>0</v>
      </c>
    </row>
    <row r="1109" spans="1:9" x14ac:dyDescent="0.2">
      <c r="A1109" s="2">
        <v>15</v>
      </c>
      <c r="B1109" s="1" t="s">
        <v>256</v>
      </c>
      <c r="C1109" s="4">
        <v>4</v>
      </c>
      <c r="D1109" s="8">
        <v>1.54</v>
      </c>
      <c r="E1109" s="4">
        <v>1</v>
      </c>
      <c r="F1109" s="8">
        <v>0.56000000000000005</v>
      </c>
      <c r="G1109" s="4">
        <v>3</v>
      </c>
      <c r="H1109" s="8">
        <v>3.85</v>
      </c>
      <c r="I1109" s="4">
        <v>0</v>
      </c>
    </row>
    <row r="1110" spans="1:9" x14ac:dyDescent="0.2">
      <c r="A1110" s="2">
        <v>15</v>
      </c>
      <c r="B1110" s="1" t="s">
        <v>142</v>
      </c>
      <c r="C1110" s="4">
        <v>4</v>
      </c>
      <c r="D1110" s="8">
        <v>1.54</v>
      </c>
      <c r="E1110" s="4">
        <v>2</v>
      </c>
      <c r="F1110" s="8">
        <v>1.1299999999999999</v>
      </c>
      <c r="G1110" s="4">
        <v>2</v>
      </c>
      <c r="H1110" s="8">
        <v>2.56</v>
      </c>
      <c r="I1110" s="4">
        <v>0</v>
      </c>
    </row>
    <row r="1111" spans="1:9" x14ac:dyDescent="0.2">
      <c r="A1111" s="2">
        <v>15</v>
      </c>
      <c r="B1111" s="1" t="s">
        <v>227</v>
      </c>
      <c r="C1111" s="4">
        <v>4</v>
      </c>
      <c r="D1111" s="8">
        <v>1.54</v>
      </c>
      <c r="E1111" s="4">
        <v>4</v>
      </c>
      <c r="F1111" s="8">
        <v>2.2599999999999998</v>
      </c>
      <c r="G1111" s="4">
        <v>0</v>
      </c>
      <c r="H1111" s="8">
        <v>0</v>
      </c>
      <c r="I1111" s="4">
        <v>0</v>
      </c>
    </row>
    <row r="1112" spans="1:9" x14ac:dyDescent="0.2">
      <c r="A1112" s="2">
        <v>15</v>
      </c>
      <c r="B1112" s="1" t="s">
        <v>147</v>
      </c>
      <c r="C1112" s="4">
        <v>4</v>
      </c>
      <c r="D1112" s="8">
        <v>1.54</v>
      </c>
      <c r="E1112" s="4">
        <v>4</v>
      </c>
      <c r="F1112" s="8">
        <v>2.2599999999999998</v>
      </c>
      <c r="G1112" s="4">
        <v>0</v>
      </c>
      <c r="H1112" s="8">
        <v>0</v>
      </c>
      <c r="I1112" s="4">
        <v>0</v>
      </c>
    </row>
    <row r="1113" spans="1:9" x14ac:dyDescent="0.2">
      <c r="A1113" s="2">
        <v>19</v>
      </c>
      <c r="B1113" s="1" t="s">
        <v>135</v>
      </c>
      <c r="C1113" s="4">
        <v>3</v>
      </c>
      <c r="D1113" s="8">
        <v>1.1499999999999999</v>
      </c>
      <c r="E1113" s="4">
        <v>1</v>
      </c>
      <c r="F1113" s="8">
        <v>0.56000000000000005</v>
      </c>
      <c r="G1113" s="4">
        <v>2</v>
      </c>
      <c r="H1113" s="8">
        <v>2.56</v>
      </c>
      <c r="I1113" s="4">
        <v>0</v>
      </c>
    </row>
    <row r="1114" spans="1:9" x14ac:dyDescent="0.2">
      <c r="A1114" s="2">
        <v>19</v>
      </c>
      <c r="B1114" s="1" t="s">
        <v>190</v>
      </c>
      <c r="C1114" s="4">
        <v>3</v>
      </c>
      <c r="D1114" s="8">
        <v>1.1499999999999999</v>
      </c>
      <c r="E1114" s="4">
        <v>2</v>
      </c>
      <c r="F1114" s="8">
        <v>1.1299999999999999</v>
      </c>
      <c r="G1114" s="4">
        <v>1</v>
      </c>
      <c r="H1114" s="8">
        <v>1.28</v>
      </c>
      <c r="I1114" s="4">
        <v>0</v>
      </c>
    </row>
    <row r="1115" spans="1:9" x14ac:dyDescent="0.2">
      <c r="A1115" s="2">
        <v>19</v>
      </c>
      <c r="B1115" s="1" t="s">
        <v>213</v>
      </c>
      <c r="C1115" s="4">
        <v>3</v>
      </c>
      <c r="D1115" s="8">
        <v>1.1499999999999999</v>
      </c>
      <c r="E1115" s="4">
        <v>3</v>
      </c>
      <c r="F1115" s="8">
        <v>1.69</v>
      </c>
      <c r="G1115" s="4">
        <v>0</v>
      </c>
      <c r="H1115" s="8">
        <v>0</v>
      </c>
      <c r="I1115" s="4">
        <v>0</v>
      </c>
    </row>
    <row r="1116" spans="1:9" x14ac:dyDescent="0.2">
      <c r="A1116" s="2">
        <v>19</v>
      </c>
      <c r="B1116" s="1" t="s">
        <v>257</v>
      </c>
      <c r="C1116" s="4">
        <v>3</v>
      </c>
      <c r="D1116" s="8">
        <v>1.1499999999999999</v>
      </c>
      <c r="E1116" s="4">
        <v>3</v>
      </c>
      <c r="F1116" s="8">
        <v>1.69</v>
      </c>
      <c r="G1116" s="4">
        <v>0</v>
      </c>
      <c r="H1116" s="8">
        <v>0</v>
      </c>
      <c r="I1116" s="4">
        <v>0</v>
      </c>
    </row>
    <row r="1117" spans="1:9" x14ac:dyDescent="0.2">
      <c r="A1117" s="2">
        <v>19</v>
      </c>
      <c r="B1117" s="1" t="s">
        <v>258</v>
      </c>
      <c r="C1117" s="4">
        <v>3</v>
      </c>
      <c r="D1117" s="8">
        <v>1.1499999999999999</v>
      </c>
      <c r="E1117" s="4">
        <v>0</v>
      </c>
      <c r="F1117" s="8">
        <v>0</v>
      </c>
      <c r="G1117" s="4">
        <v>3</v>
      </c>
      <c r="H1117" s="8">
        <v>3.85</v>
      </c>
      <c r="I1117" s="4">
        <v>0</v>
      </c>
    </row>
    <row r="1118" spans="1:9" x14ac:dyDescent="0.2">
      <c r="A1118" s="2">
        <v>19</v>
      </c>
      <c r="B1118" s="1" t="s">
        <v>215</v>
      </c>
      <c r="C1118" s="4">
        <v>3</v>
      </c>
      <c r="D1118" s="8">
        <v>1.1499999999999999</v>
      </c>
      <c r="E1118" s="4">
        <v>3</v>
      </c>
      <c r="F1118" s="8">
        <v>1.69</v>
      </c>
      <c r="G1118" s="4">
        <v>0</v>
      </c>
      <c r="H1118" s="8">
        <v>0</v>
      </c>
      <c r="I1118" s="4">
        <v>0</v>
      </c>
    </row>
    <row r="1119" spans="1:9" x14ac:dyDescent="0.2">
      <c r="A1119" s="2">
        <v>19</v>
      </c>
      <c r="B1119" s="1" t="s">
        <v>140</v>
      </c>
      <c r="C1119" s="4">
        <v>3</v>
      </c>
      <c r="D1119" s="8">
        <v>1.1499999999999999</v>
      </c>
      <c r="E1119" s="4">
        <v>2</v>
      </c>
      <c r="F1119" s="8">
        <v>1.1299999999999999</v>
      </c>
      <c r="G1119" s="4">
        <v>1</v>
      </c>
      <c r="H1119" s="8">
        <v>1.28</v>
      </c>
      <c r="I1119" s="4">
        <v>0</v>
      </c>
    </row>
    <row r="1120" spans="1:9" x14ac:dyDescent="0.2">
      <c r="A1120" s="2">
        <v>19</v>
      </c>
      <c r="B1120" s="1" t="s">
        <v>234</v>
      </c>
      <c r="C1120" s="4">
        <v>3</v>
      </c>
      <c r="D1120" s="8">
        <v>1.1499999999999999</v>
      </c>
      <c r="E1120" s="4">
        <v>1</v>
      </c>
      <c r="F1120" s="8">
        <v>0.56000000000000005</v>
      </c>
      <c r="G1120" s="4">
        <v>2</v>
      </c>
      <c r="H1120" s="8">
        <v>2.56</v>
      </c>
      <c r="I1120" s="4">
        <v>0</v>
      </c>
    </row>
    <row r="1121" spans="1:9" x14ac:dyDescent="0.2">
      <c r="A1121" s="2">
        <v>19</v>
      </c>
      <c r="B1121" s="1" t="s">
        <v>170</v>
      </c>
      <c r="C1121" s="4">
        <v>3</v>
      </c>
      <c r="D1121" s="8">
        <v>1.1499999999999999</v>
      </c>
      <c r="E1121" s="4">
        <v>3</v>
      </c>
      <c r="F1121" s="8">
        <v>1.69</v>
      </c>
      <c r="G1121" s="4">
        <v>0</v>
      </c>
      <c r="H1121" s="8">
        <v>0</v>
      </c>
      <c r="I1121" s="4">
        <v>0</v>
      </c>
    </row>
    <row r="1122" spans="1:9" x14ac:dyDescent="0.2">
      <c r="A1122" s="2">
        <v>19</v>
      </c>
      <c r="B1122" s="1" t="s">
        <v>171</v>
      </c>
      <c r="C1122" s="4">
        <v>3</v>
      </c>
      <c r="D1122" s="8">
        <v>1.1499999999999999</v>
      </c>
      <c r="E1122" s="4">
        <v>3</v>
      </c>
      <c r="F1122" s="8">
        <v>1.69</v>
      </c>
      <c r="G1122" s="4">
        <v>0</v>
      </c>
      <c r="H1122" s="8">
        <v>0</v>
      </c>
      <c r="I1122" s="4">
        <v>0</v>
      </c>
    </row>
    <row r="1123" spans="1:9" x14ac:dyDescent="0.2">
      <c r="A1123" s="1"/>
      <c r="C1123" s="4"/>
      <c r="D1123" s="8"/>
      <c r="E1123" s="4"/>
      <c r="F1123" s="8"/>
      <c r="G1123" s="4"/>
      <c r="H1123" s="8"/>
      <c r="I1123" s="4"/>
    </row>
    <row r="1124" spans="1:9" x14ac:dyDescent="0.2">
      <c r="A1124" s="1" t="s">
        <v>43</v>
      </c>
      <c r="C1124" s="4"/>
      <c r="D1124" s="8"/>
      <c r="E1124" s="4"/>
      <c r="F1124" s="8"/>
      <c r="G1124" s="4"/>
      <c r="H1124" s="8"/>
      <c r="I1124" s="4"/>
    </row>
    <row r="1125" spans="1:9" x14ac:dyDescent="0.2">
      <c r="A1125" s="2">
        <v>1</v>
      </c>
      <c r="B1125" s="1" t="s">
        <v>151</v>
      </c>
      <c r="C1125" s="4">
        <v>9</v>
      </c>
      <c r="D1125" s="8">
        <v>7.83</v>
      </c>
      <c r="E1125" s="4">
        <v>8</v>
      </c>
      <c r="F1125" s="8">
        <v>10.81</v>
      </c>
      <c r="G1125" s="4">
        <v>1</v>
      </c>
      <c r="H1125" s="8">
        <v>2.63</v>
      </c>
      <c r="I1125" s="4">
        <v>0</v>
      </c>
    </row>
    <row r="1126" spans="1:9" x14ac:dyDescent="0.2">
      <c r="A1126" s="2">
        <v>2</v>
      </c>
      <c r="B1126" s="1" t="s">
        <v>186</v>
      </c>
      <c r="C1126" s="4">
        <v>6</v>
      </c>
      <c r="D1126" s="8">
        <v>5.22</v>
      </c>
      <c r="E1126" s="4">
        <v>2</v>
      </c>
      <c r="F1126" s="8">
        <v>2.7</v>
      </c>
      <c r="G1126" s="4">
        <v>4</v>
      </c>
      <c r="H1126" s="8">
        <v>10.53</v>
      </c>
      <c r="I1126" s="4">
        <v>0</v>
      </c>
    </row>
    <row r="1127" spans="1:9" x14ac:dyDescent="0.2">
      <c r="A1127" s="2">
        <v>2</v>
      </c>
      <c r="B1127" s="1" t="s">
        <v>152</v>
      </c>
      <c r="C1127" s="4">
        <v>6</v>
      </c>
      <c r="D1127" s="8">
        <v>5.22</v>
      </c>
      <c r="E1127" s="4">
        <v>6</v>
      </c>
      <c r="F1127" s="8">
        <v>8.11</v>
      </c>
      <c r="G1127" s="4">
        <v>0</v>
      </c>
      <c r="H1127" s="8">
        <v>0</v>
      </c>
      <c r="I1127" s="4">
        <v>0</v>
      </c>
    </row>
    <row r="1128" spans="1:9" x14ac:dyDescent="0.2">
      <c r="A1128" s="2">
        <v>4</v>
      </c>
      <c r="B1128" s="1" t="s">
        <v>150</v>
      </c>
      <c r="C1128" s="4">
        <v>5</v>
      </c>
      <c r="D1128" s="8">
        <v>4.3499999999999996</v>
      </c>
      <c r="E1128" s="4">
        <v>5</v>
      </c>
      <c r="F1128" s="8">
        <v>6.76</v>
      </c>
      <c r="G1128" s="4">
        <v>0</v>
      </c>
      <c r="H1128" s="8">
        <v>0</v>
      </c>
      <c r="I1128" s="4">
        <v>0</v>
      </c>
    </row>
    <row r="1129" spans="1:9" x14ac:dyDescent="0.2">
      <c r="A1129" s="2">
        <v>5</v>
      </c>
      <c r="B1129" s="1" t="s">
        <v>136</v>
      </c>
      <c r="C1129" s="4">
        <v>4</v>
      </c>
      <c r="D1129" s="8">
        <v>3.48</v>
      </c>
      <c r="E1129" s="4">
        <v>3</v>
      </c>
      <c r="F1129" s="8">
        <v>4.05</v>
      </c>
      <c r="G1129" s="4">
        <v>1</v>
      </c>
      <c r="H1129" s="8">
        <v>2.63</v>
      </c>
      <c r="I1129" s="4">
        <v>0</v>
      </c>
    </row>
    <row r="1130" spans="1:9" x14ac:dyDescent="0.2">
      <c r="A1130" s="2">
        <v>5</v>
      </c>
      <c r="B1130" s="1" t="s">
        <v>139</v>
      </c>
      <c r="C1130" s="4">
        <v>4</v>
      </c>
      <c r="D1130" s="8">
        <v>3.48</v>
      </c>
      <c r="E1130" s="4">
        <v>4</v>
      </c>
      <c r="F1130" s="8">
        <v>5.41</v>
      </c>
      <c r="G1130" s="4">
        <v>0</v>
      </c>
      <c r="H1130" s="8">
        <v>0</v>
      </c>
      <c r="I1130" s="4">
        <v>0</v>
      </c>
    </row>
    <row r="1131" spans="1:9" x14ac:dyDescent="0.2">
      <c r="A1131" s="2">
        <v>5</v>
      </c>
      <c r="B1131" s="1" t="s">
        <v>174</v>
      </c>
      <c r="C1131" s="4">
        <v>4</v>
      </c>
      <c r="D1131" s="8">
        <v>3.48</v>
      </c>
      <c r="E1131" s="4">
        <v>4</v>
      </c>
      <c r="F1131" s="8">
        <v>5.41</v>
      </c>
      <c r="G1131" s="4">
        <v>0</v>
      </c>
      <c r="H1131" s="8">
        <v>0</v>
      </c>
      <c r="I1131" s="4">
        <v>0</v>
      </c>
    </row>
    <row r="1132" spans="1:9" x14ac:dyDescent="0.2">
      <c r="A1132" s="2">
        <v>5</v>
      </c>
      <c r="B1132" s="1" t="s">
        <v>140</v>
      </c>
      <c r="C1132" s="4">
        <v>4</v>
      </c>
      <c r="D1132" s="8">
        <v>3.48</v>
      </c>
      <c r="E1132" s="4">
        <v>4</v>
      </c>
      <c r="F1132" s="8">
        <v>5.41</v>
      </c>
      <c r="G1132" s="4">
        <v>0</v>
      </c>
      <c r="H1132" s="8">
        <v>0</v>
      </c>
      <c r="I1132" s="4">
        <v>0</v>
      </c>
    </row>
    <row r="1133" spans="1:9" x14ac:dyDescent="0.2">
      <c r="A1133" s="2">
        <v>5</v>
      </c>
      <c r="B1133" s="1" t="s">
        <v>203</v>
      </c>
      <c r="C1133" s="4">
        <v>4</v>
      </c>
      <c r="D1133" s="8">
        <v>3.48</v>
      </c>
      <c r="E1133" s="4">
        <v>2</v>
      </c>
      <c r="F1133" s="8">
        <v>2.7</v>
      </c>
      <c r="G1133" s="4">
        <v>2</v>
      </c>
      <c r="H1133" s="8">
        <v>5.26</v>
      </c>
      <c r="I1133" s="4">
        <v>0</v>
      </c>
    </row>
    <row r="1134" spans="1:9" x14ac:dyDescent="0.2">
      <c r="A1134" s="2">
        <v>5</v>
      </c>
      <c r="B1134" s="1" t="s">
        <v>222</v>
      </c>
      <c r="C1134" s="4">
        <v>4</v>
      </c>
      <c r="D1134" s="8">
        <v>3.48</v>
      </c>
      <c r="E1134" s="4">
        <v>4</v>
      </c>
      <c r="F1134" s="8">
        <v>5.41</v>
      </c>
      <c r="G1134" s="4">
        <v>0</v>
      </c>
      <c r="H1134" s="8">
        <v>0</v>
      </c>
      <c r="I1134" s="4">
        <v>0</v>
      </c>
    </row>
    <row r="1135" spans="1:9" x14ac:dyDescent="0.2">
      <c r="A1135" s="2">
        <v>5</v>
      </c>
      <c r="B1135" s="1" t="s">
        <v>154</v>
      </c>
      <c r="C1135" s="4">
        <v>4</v>
      </c>
      <c r="D1135" s="8">
        <v>3.48</v>
      </c>
      <c r="E1135" s="4">
        <v>2</v>
      </c>
      <c r="F1135" s="8">
        <v>2.7</v>
      </c>
      <c r="G1135" s="4">
        <v>2</v>
      </c>
      <c r="H1135" s="8">
        <v>5.26</v>
      </c>
      <c r="I1135" s="4">
        <v>0</v>
      </c>
    </row>
    <row r="1136" spans="1:9" x14ac:dyDescent="0.2">
      <c r="A1136" s="2">
        <v>12</v>
      </c>
      <c r="B1136" s="1" t="s">
        <v>135</v>
      </c>
      <c r="C1136" s="4">
        <v>3</v>
      </c>
      <c r="D1136" s="8">
        <v>2.61</v>
      </c>
      <c r="E1136" s="4">
        <v>0</v>
      </c>
      <c r="F1136" s="8">
        <v>0</v>
      </c>
      <c r="G1136" s="4">
        <v>3</v>
      </c>
      <c r="H1136" s="8">
        <v>7.89</v>
      </c>
      <c r="I1136" s="4">
        <v>0</v>
      </c>
    </row>
    <row r="1137" spans="1:9" x14ac:dyDescent="0.2">
      <c r="A1137" s="2">
        <v>12</v>
      </c>
      <c r="B1137" s="1" t="s">
        <v>160</v>
      </c>
      <c r="C1137" s="4">
        <v>3</v>
      </c>
      <c r="D1137" s="8">
        <v>2.61</v>
      </c>
      <c r="E1137" s="4">
        <v>2</v>
      </c>
      <c r="F1137" s="8">
        <v>2.7</v>
      </c>
      <c r="G1137" s="4">
        <v>1</v>
      </c>
      <c r="H1137" s="8">
        <v>2.63</v>
      </c>
      <c r="I1137" s="4">
        <v>0</v>
      </c>
    </row>
    <row r="1138" spans="1:9" x14ac:dyDescent="0.2">
      <c r="A1138" s="2">
        <v>14</v>
      </c>
      <c r="B1138" s="1" t="s">
        <v>137</v>
      </c>
      <c r="C1138" s="4">
        <v>2</v>
      </c>
      <c r="D1138" s="8">
        <v>1.74</v>
      </c>
      <c r="E1138" s="4">
        <v>2</v>
      </c>
      <c r="F1138" s="8">
        <v>2.7</v>
      </c>
      <c r="G1138" s="4">
        <v>0</v>
      </c>
      <c r="H1138" s="8">
        <v>0</v>
      </c>
      <c r="I1138" s="4">
        <v>0</v>
      </c>
    </row>
    <row r="1139" spans="1:9" x14ac:dyDescent="0.2">
      <c r="A1139" s="2">
        <v>14</v>
      </c>
      <c r="B1139" s="1" t="s">
        <v>259</v>
      </c>
      <c r="C1139" s="4">
        <v>2</v>
      </c>
      <c r="D1139" s="8">
        <v>1.74</v>
      </c>
      <c r="E1139" s="4">
        <v>1</v>
      </c>
      <c r="F1139" s="8">
        <v>1.35</v>
      </c>
      <c r="G1139" s="4">
        <v>1</v>
      </c>
      <c r="H1139" s="8">
        <v>2.63</v>
      </c>
      <c r="I1139" s="4">
        <v>0</v>
      </c>
    </row>
    <row r="1140" spans="1:9" x14ac:dyDescent="0.2">
      <c r="A1140" s="2">
        <v>14</v>
      </c>
      <c r="B1140" s="1" t="s">
        <v>190</v>
      </c>
      <c r="C1140" s="4">
        <v>2</v>
      </c>
      <c r="D1140" s="8">
        <v>1.74</v>
      </c>
      <c r="E1140" s="4">
        <v>1</v>
      </c>
      <c r="F1140" s="8">
        <v>1.35</v>
      </c>
      <c r="G1140" s="4">
        <v>1</v>
      </c>
      <c r="H1140" s="8">
        <v>2.63</v>
      </c>
      <c r="I1140" s="4">
        <v>0</v>
      </c>
    </row>
    <row r="1141" spans="1:9" x14ac:dyDescent="0.2">
      <c r="A1141" s="2">
        <v>14</v>
      </c>
      <c r="B1141" s="1" t="s">
        <v>260</v>
      </c>
      <c r="C1141" s="4">
        <v>2</v>
      </c>
      <c r="D1141" s="8">
        <v>1.74</v>
      </c>
      <c r="E1141" s="4">
        <v>1</v>
      </c>
      <c r="F1141" s="8">
        <v>1.35</v>
      </c>
      <c r="G1141" s="4">
        <v>1</v>
      </c>
      <c r="H1141" s="8">
        <v>2.63</v>
      </c>
      <c r="I1141" s="4">
        <v>0</v>
      </c>
    </row>
    <row r="1142" spans="1:9" x14ac:dyDescent="0.2">
      <c r="A1142" s="2">
        <v>14</v>
      </c>
      <c r="B1142" s="1" t="s">
        <v>256</v>
      </c>
      <c r="C1142" s="4">
        <v>2</v>
      </c>
      <c r="D1142" s="8">
        <v>1.74</v>
      </c>
      <c r="E1142" s="4">
        <v>0</v>
      </c>
      <c r="F1142" s="8">
        <v>0</v>
      </c>
      <c r="G1142" s="4">
        <v>2</v>
      </c>
      <c r="H1142" s="8">
        <v>5.26</v>
      </c>
      <c r="I1142" s="4">
        <v>0</v>
      </c>
    </row>
    <row r="1143" spans="1:9" x14ac:dyDescent="0.2">
      <c r="A1143" s="2">
        <v>14</v>
      </c>
      <c r="B1143" s="1" t="s">
        <v>166</v>
      </c>
      <c r="C1143" s="4">
        <v>2</v>
      </c>
      <c r="D1143" s="8">
        <v>1.74</v>
      </c>
      <c r="E1143" s="4">
        <v>2</v>
      </c>
      <c r="F1143" s="8">
        <v>2.7</v>
      </c>
      <c r="G1143" s="4">
        <v>0</v>
      </c>
      <c r="H1143" s="8">
        <v>0</v>
      </c>
      <c r="I1143" s="4">
        <v>0</v>
      </c>
    </row>
    <row r="1144" spans="1:9" x14ac:dyDescent="0.2">
      <c r="A1144" s="2">
        <v>14</v>
      </c>
      <c r="B1144" s="1" t="s">
        <v>167</v>
      </c>
      <c r="C1144" s="4">
        <v>2</v>
      </c>
      <c r="D1144" s="8">
        <v>1.74</v>
      </c>
      <c r="E1144" s="4">
        <v>1</v>
      </c>
      <c r="F1144" s="8">
        <v>1.35</v>
      </c>
      <c r="G1144" s="4">
        <v>1</v>
      </c>
      <c r="H1144" s="8">
        <v>2.63</v>
      </c>
      <c r="I1144" s="4">
        <v>0</v>
      </c>
    </row>
    <row r="1145" spans="1:9" x14ac:dyDescent="0.2">
      <c r="A1145" s="2">
        <v>14</v>
      </c>
      <c r="B1145" s="1" t="s">
        <v>168</v>
      </c>
      <c r="C1145" s="4">
        <v>2</v>
      </c>
      <c r="D1145" s="8">
        <v>1.74</v>
      </c>
      <c r="E1145" s="4">
        <v>0</v>
      </c>
      <c r="F1145" s="8">
        <v>0</v>
      </c>
      <c r="G1145" s="4">
        <v>2</v>
      </c>
      <c r="H1145" s="8">
        <v>5.26</v>
      </c>
      <c r="I1145" s="4">
        <v>0</v>
      </c>
    </row>
    <row r="1146" spans="1:9" x14ac:dyDescent="0.2">
      <c r="A1146" s="2">
        <v>14</v>
      </c>
      <c r="B1146" s="1" t="s">
        <v>143</v>
      </c>
      <c r="C1146" s="4">
        <v>2</v>
      </c>
      <c r="D1146" s="8">
        <v>1.74</v>
      </c>
      <c r="E1146" s="4">
        <v>1</v>
      </c>
      <c r="F1146" s="8">
        <v>1.35</v>
      </c>
      <c r="G1146" s="4">
        <v>1</v>
      </c>
      <c r="H1146" s="8">
        <v>2.63</v>
      </c>
      <c r="I1146" s="4">
        <v>0</v>
      </c>
    </row>
    <row r="1147" spans="1:9" x14ac:dyDescent="0.2">
      <c r="A1147" s="2">
        <v>14</v>
      </c>
      <c r="B1147" s="1" t="s">
        <v>148</v>
      </c>
      <c r="C1147" s="4">
        <v>2</v>
      </c>
      <c r="D1147" s="8">
        <v>1.74</v>
      </c>
      <c r="E1147" s="4">
        <v>2</v>
      </c>
      <c r="F1147" s="8">
        <v>2.7</v>
      </c>
      <c r="G1147" s="4">
        <v>0</v>
      </c>
      <c r="H1147" s="8">
        <v>0</v>
      </c>
      <c r="I1147" s="4">
        <v>0</v>
      </c>
    </row>
    <row r="1148" spans="1:9" x14ac:dyDescent="0.2">
      <c r="A1148" s="2">
        <v>14</v>
      </c>
      <c r="B1148" s="1" t="s">
        <v>149</v>
      </c>
      <c r="C1148" s="4">
        <v>2</v>
      </c>
      <c r="D1148" s="8">
        <v>1.74</v>
      </c>
      <c r="E1148" s="4">
        <v>2</v>
      </c>
      <c r="F1148" s="8">
        <v>2.7</v>
      </c>
      <c r="G1148" s="4">
        <v>0</v>
      </c>
      <c r="H1148" s="8">
        <v>0</v>
      </c>
      <c r="I1148" s="4">
        <v>0</v>
      </c>
    </row>
    <row r="1149" spans="1:9" x14ac:dyDescent="0.2">
      <c r="A1149" s="2">
        <v>14</v>
      </c>
      <c r="B1149" s="1" t="s">
        <v>159</v>
      </c>
      <c r="C1149" s="4">
        <v>2</v>
      </c>
      <c r="D1149" s="8">
        <v>1.74</v>
      </c>
      <c r="E1149" s="4">
        <v>1</v>
      </c>
      <c r="F1149" s="8">
        <v>1.35</v>
      </c>
      <c r="G1149" s="4">
        <v>1</v>
      </c>
      <c r="H1149" s="8">
        <v>2.63</v>
      </c>
      <c r="I1149" s="4">
        <v>0</v>
      </c>
    </row>
    <row r="1150" spans="1:9" x14ac:dyDescent="0.2">
      <c r="A1150" s="2">
        <v>14</v>
      </c>
      <c r="B1150" s="1" t="s">
        <v>187</v>
      </c>
      <c r="C1150" s="4">
        <v>2</v>
      </c>
      <c r="D1150" s="8">
        <v>1.74</v>
      </c>
      <c r="E1150" s="4">
        <v>2</v>
      </c>
      <c r="F1150" s="8">
        <v>2.7</v>
      </c>
      <c r="G1150" s="4">
        <v>0</v>
      </c>
      <c r="H1150" s="8">
        <v>0</v>
      </c>
      <c r="I1150" s="4">
        <v>0</v>
      </c>
    </row>
    <row r="1151" spans="1:9" x14ac:dyDescent="0.2">
      <c r="A1151" s="2">
        <v>14</v>
      </c>
      <c r="B1151" s="1" t="s">
        <v>255</v>
      </c>
      <c r="C1151" s="4">
        <v>2</v>
      </c>
      <c r="D1151" s="8">
        <v>1.74</v>
      </c>
      <c r="E1151" s="4">
        <v>0</v>
      </c>
      <c r="F1151" s="8">
        <v>0</v>
      </c>
      <c r="G1151" s="4">
        <v>2</v>
      </c>
      <c r="H1151" s="8">
        <v>5.26</v>
      </c>
      <c r="I1151" s="4">
        <v>0</v>
      </c>
    </row>
    <row r="1152" spans="1:9" x14ac:dyDescent="0.2">
      <c r="A1152" s="1"/>
      <c r="C1152" s="4"/>
      <c r="D1152" s="8"/>
      <c r="E1152" s="4"/>
      <c r="F1152" s="8"/>
      <c r="G1152" s="4"/>
      <c r="H1152" s="8"/>
      <c r="I1152" s="4"/>
    </row>
    <row r="1153" spans="1:9" x14ac:dyDescent="0.2">
      <c r="A1153" s="1" t="s">
        <v>44</v>
      </c>
      <c r="C1153" s="4"/>
      <c r="D1153" s="8"/>
      <c r="E1153" s="4"/>
      <c r="F1153" s="8"/>
      <c r="G1153" s="4"/>
      <c r="H1153" s="8"/>
      <c r="I1153" s="4"/>
    </row>
    <row r="1154" spans="1:9" x14ac:dyDescent="0.2">
      <c r="A1154" s="2">
        <v>1</v>
      </c>
      <c r="B1154" s="1" t="s">
        <v>181</v>
      </c>
      <c r="C1154" s="4">
        <v>11</v>
      </c>
      <c r="D1154" s="8">
        <v>17.739999999999998</v>
      </c>
      <c r="E1154" s="4">
        <v>10</v>
      </c>
      <c r="F1154" s="8">
        <v>21.28</v>
      </c>
      <c r="G1154" s="4">
        <v>1</v>
      </c>
      <c r="H1154" s="8">
        <v>7.69</v>
      </c>
      <c r="I1154" s="4">
        <v>0</v>
      </c>
    </row>
    <row r="1155" spans="1:9" x14ac:dyDescent="0.2">
      <c r="A1155" s="2">
        <v>2</v>
      </c>
      <c r="B1155" s="1" t="s">
        <v>151</v>
      </c>
      <c r="C1155" s="4">
        <v>4</v>
      </c>
      <c r="D1155" s="8">
        <v>6.45</v>
      </c>
      <c r="E1155" s="4">
        <v>4</v>
      </c>
      <c r="F1155" s="8">
        <v>8.51</v>
      </c>
      <c r="G1155" s="4">
        <v>0</v>
      </c>
      <c r="H1155" s="8">
        <v>0</v>
      </c>
      <c r="I1155" s="4">
        <v>0</v>
      </c>
    </row>
    <row r="1156" spans="1:9" x14ac:dyDescent="0.2">
      <c r="A1156" s="2">
        <v>3</v>
      </c>
      <c r="B1156" s="1" t="s">
        <v>140</v>
      </c>
      <c r="C1156" s="4">
        <v>3</v>
      </c>
      <c r="D1156" s="8">
        <v>4.84</v>
      </c>
      <c r="E1156" s="4">
        <v>2</v>
      </c>
      <c r="F1156" s="8">
        <v>4.26</v>
      </c>
      <c r="G1156" s="4">
        <v>1</v>
      </c>
      <c r="H1156" s="8">
        <v>7.69</v>
      </c>
      <c r="I1156" s="4">
        <v>0</v>
      </c>
    </row>
    <row r="1157" spans="1:9" x14ac:dyDescent="0.2">
      <c r="A1157" s="2">
        <v>4</v>
      </c>
      <c r="B1157" s="1" t="s">
        <v>201</v>
      </c>
      <c r="C1157" s="4">
        <v>2</v>
      </c>
      <c r="D1157" s="8">
        <v>3.23</v>
      </c>
      <c r="E1157" s="4">
        <v>2</v>
      </c>
      <c r="F1157" s="8">
        <v>4.26</v>
      </c>
      <c r="G1157" s="4">
        <v>0</v>
      </c>
      <c r="H1157" s="8">
        <v>0</v>
      </c>
      <c r="I1157" s="4">
        <v>0</v>
      </c>
    </row>
    <row r="1158" spans="1:9" x14ac:dyDescent="0.2">
      <c r="A1158" s="2">
        <v>4</v>
      </c>
      <c r="B1158" s="1" t="s">
        <v>174</v>
      </c>
      <c r="C1158" s="4">
        <v>2</v>
      </c>
      <c r="D1158" s="8">
        <v>3.23</v>
      </c>
      <c r="E1158" s="4">
        <v>2</v>
      </c>
      <c r="F1158" s="8">
        <v>4.26</v>
      </c>
      <c r="G1158" s="4">
        <v>0</v>
      </c>
      <c r="H1158" s="8">
        <v>0</v>
      </c>
      <c r="I1158" s="4">
        <v>0</v>
      </c>
    </row>
    <row r="1159" spans="1:9" x14ac:dyDescent="0.2">
      <c r="A1159" s="2">
        <v>4</v>
      </c>
      <c r="B1159" s="1" t="s">
        <v>170</v>
      </c>
      <c r="C1159" s="4">
        <v>2</v>
      </c>
      <c r="D1159" s="8">
        <v>3.23</v>
      </c>
      <c r="E1159" s="4">
        <v>2</v>
      </c>
      <c r="F1159" s="8">
        <v>4.26</v>
      </c>
      <c r="G1159" s="4">
        <v>0</v>
      </c>
      <c r="H1159" s="8">
        <v>0</v>
      </c>
      <c r="I1159" s="4">
        <v>0</v>
      </c>
    </row>
    <row r="1160" spans="1:9" x14ac:dyDescent="0.2">
      <c r="A1160" s="2">
        <v>4</v>
      </c>
      <c r="B1160" s="1" t="s">
        <v>159</v>
      </c>
      <c r="C1160" s="4">
        <v>2</v>
      </c>
      <c r="D1160" s="8">
        <v>3.23</v>
      </c>
      <c r="E1160" s="4">
        <v>2</v>
      </c>
      <c r="F1160" s="8">
        <v>4.26</v>
      </c>
      <c r="G1160" s="4">
        <v>0</v>
      </c>
      <c r="H1160" s="8">
        <v>0</v>
      </c>
      <c r="I1160" s="4">
        <v>0</v>
      </c>
    </row>
    <row r="1161" spans="1:9" x14ac:dyDescent="0.2">
      <c r="A1161" s="2">
        <v>4</v>
      </c>
      <c r="B1161" s="1" t="s">
        <v>150</v>
      </c>
      <c r="C1161" s="4">
        <v>2</v>
      </c>
      <c r="D1161" s="8">
        <v>3.23</v>
      </c>
      <c r="E1161" s="4">
        <v>2</v>
      </c>
      <c r="F1161" s="8">
        <v>4.26</v>
      </c>
      <c r="G1161" s="4">
        <v>0</v>
      </c>
      <c r="H1161" s="8">
        <v>0</v>
      </c>
      <c r="I1161" s="4">
        <v>0</v>
      </c>
    </row>
    <row r="1162" spans="1:9" x14ac:dyDescent="0.2">
      <c r="A1162" s="2">
        <v>4</v>
      </c>
      <c r="B1162" s="1" t="s">
        <v>265</v>
      </c>
      <c r="C1162" s="4">
        <v>2</v>
      </c>
      <c r="D1162" s="8">
        <v>3.23</v>
      </c>
      <c r="E1162" s="4">
        <v>1</v>
      </c>
      <c r="F1162" s="8">
        <v>2.13</v>
      </c>
      <c r="G1162" s="4">
        <v>1</v>
      </c>
      <c r="H1162" s="8">
        <v>7.69</v>
      </c>
      <c r="I1162" s="4">
        <v>0</v>
      </c>
    </row>
    <row r="1163" spans="1:9" x14ac:dyDescent="0.2">
      <c r="A1163" s="2">
        <v>4</v>
      </c>
      <c r="B1163" s="1" t="s">
        <v>153</v>
      </c>
      <c r="C1163" s="4">
        <v>2</v>
      </c>
      <c r="D1163" s="8">
        <v>3.23</v>
      </c>
      <c r="E1163" s="4">
        <v>2</v>
      </c>
      <c r="F1163" s="8">
        <v>4.26</v>
      </c>
      <c r="G1163" s="4">
        <v>0</v>
      </c>
      <c r="H1163" s="8">
        <v>0</v>
      </c>
      <c r="I1163" s="4">
        <v>0</v>
      </c>
    </row>
    <row r="1164" spans="1:9" x14ac:dyDescent="0.2">
      <c r="A1164" s="2">
        <v>11</v>
      </c>
      <c r="B1164" s="1" t="s">
        <v>135</v>
      </c>
      <c r="C1164" s="4">
        <v>1</v>
      </c>
      <c r="D1164" s="8">
        <v>1.61</v>
      </c>
      <c r="E1164" s="4">
        <v>1</v>
      </c>
      <c r="F1164" s="8">
        <v>2.13</v>
      </c>
      <c r="G1164" s="4">
        <v>0</v>
      </c>
      <c r="H1164" s="8">
        <v>0</v>
      </c>
      <c r="I1164" s="4">
        <v>0</v>
      </c>
    </row>
    <row r="1165" spans="1:9" x14ac:dyDescent="0.2">
      <c r="A1165" s="2">
        <v>11</v>
      </c>
      <c r="B1165" s="1" t="s">
        <v>136</v>
      </c>
      <c r="C1165" s="4">
        <v>1</v>
      </c>
      <c r="D1165" s="8">
        <v>1.61</v>
      </c>
      <c r="E1165" s="4">
        <v>0</v>
      </c>
      <c r="F1165" s="8">
        <v>0</v>
      </c>
      <c r="G1165" s="4">
        <v>1</v>
      </c>
      <c r="H1165" s="8">
        <v>7.69</v>
      </c>
      <c r="I1165" s="4">
        <v>0</v>
      </c>
    </row>
    <row r="1166" spans="1:9" x14ac:dyDescent="0.2">
      <c r="A1166" s="2">
        <v>11</v>
      </c>
      <c r="B1166" s="1" t="s">
        <v>189</v>
      </c>
      <c r="C1166" s="4">
        <v>1</v>
      </c>
      <c r="D1166" s="8">
        <v>1.61</v>
      </c>
      <c r="E1166" s="4">
        <v>0</v>
      </c>
      <c r="F1166" s="8">
        <v>0</v>
      </c>
      <c r="G1166" s="4">
        <v>1</v>
      </c>
      <c r="H1166" s="8">
        <v>7.69</v>
      </c>
      <c r="I1166" s="4">
        <v>0</v>
      </c>
    </row>
    <row r="1167" spans="1:9" x14ac:dyDescent="0.2">
      <c r="A1167" s="2">
        <v>11</v>
      </c>
      <c r="B1167" s="1" t="s">
        <v>220</v>
      </c>
      <c r="C1167" s="4">
        <v>1</v>
      </c>
      <c r="D1167" s="8">
        <v>1.61</v>
      </c>
      <c r="E1167" s="4">
        <v>1</v>
      </c>
      <c r="F1167" s="8">
        <v>2.13</v>
      </c>
      <c r="G1167" s="4">
        <v>0</v>
      </c>
      <c r="H1167" s="8">
        <v>0</v>
      </c>
      <c r="I1167" s="4">
        <v>0</v>
      </c>
    </row>
    <row r="1168" spans="1:9" x14ac:dyDescent="0.2">
      <c r="A1168" s="2">
        <v>11</v>
      </c>
      <c r="B1168" s="1" t="s">
        <v>175</v>
      </c>
      <c r="C1168" s="4">
        <v>1</v>
      </c>
      <c r="D1168" s="8">
        <v>1.61</v>
      </c>
      <c r="E1168" s="4">
        <v>1</v>
      </c>
      <c r="F1168" s="8">
        <v>2.13</v>
      </c>
      <c r="G1168" s="4">
        <v>0</v>
      </c>
      <c r="H1168" s="8">
        <v>0</v>
      </c>
      <c r="I1168" s="4">
        <v>0</v>
      </c>
    </row>
    <row r="1169" spans="1:9" x14ac:dyDescent="0.2">
      <c r="A1169" s="2">
        <v>11</v>
      </c>
      <c r="B1169" s="1" t="s">
        <v>138</v>
      </c>
      <c r="C1169" s="4">
        <v>1</v>
      </c>
      <c r="D1169" s="8">
        <v>1.61</v>
      </c>
      <c r="E1169" s="4">
        <v>1</v>
      </c>
      <c r="F1169" s="8">
        <v>2.13</v>
      </c>
      <c r="G1169" s="4">
        <v>0</v>
      </c>
      <c r="H1169" s="8">
        <v>0</v>
      </c>
      <c r="I1169" s="4">
        <v>0</v>
      </c>
    </row>
    <row r="1170" spans="1:9" x14ac:dyDescent="0.2">
      <c r="A1170" s="2">
        <v>11</v>
      </c>
      <c r="B1170" s="1" t="s">
        <v>213</v>
      </c>
      <c r="C1170" s="4">
        <v>1</v>
      </c>
      <c r="D1170" s="8">
        <v>1.61</v>
      </c>
      <c r="E1170" s="4">
        <v>0</v>
      </c>
      <c r="F1170" s="8">
        <v>0</v>
      </c>
      <c r="G1170" s="4">
        <v>1</v>
      </c>
      <c r="H1170" s="8">
        <v>7.69</v>
      </c>
      <c r="I1170" s="4">
        <v>0</v>
      </c>
    </row>
    <row r="1171" spans="1:9" x14ac:dyDescent="0.2">
      <c r="A1171" s="2">
        <v>11</v>
      </c>
      <c r="B1171" s="1" t="s">
        <v>256</v>
      </c>
      <c r="C1171" s="4">
        <v>1</v>
      </c>
      <c r="D1171" s="8">
        <v>1.61</v>
      </c>
      <c r="E1171" s="4">
        <v>0</v>
      </c>
      <c r="F1171" s="8">
        <v>0</v>
      </c>
      <c r="G1171" s="4">
        <v>1</v>
      </c>
      <c r="H1171" s="8">
        <v>7.69</v>
      </c>
      <c r="I1171" s="4">
        <v>0</v>
      </c>
    </row>
    <row r="1172" spans="1:9" x14ac:dyDescent="0.2">
      <c r="A1172" s="2">
        <v>11</v>
      </c>
      <c r="B1172" s="1" t="s">
        <v>185</v>
      </c>
      <c r="C1172" s="4">
        <v>1</v>
      </c>
      <c r="D1172" s="8">
        <v>1.61</v>
      </c>
      <c r="E1172" s="4">
        <v>1</v>
      </c>
      <c r="F1172" s="8">
        <v>2.13</v>
      </c>
      <c r="G1172" s="4">
        <v>0</v>
      </c>
      <c r="H1172" s="8">
        <v>0</v>
      </c>
      <c r="I1172" s="4">
        <v>0</v>
      </c>
    </row>
    <row r="1173" spans="1:9" x14ac:dyDescent="0.2">
      <c r="A1173" s="2">
        <v>11</v>
      </c>
      <c r="B1173" s="1" t="s">
        <v>186</v>
      </c>
      <c r="C1173" s="4">
        <v>1</v>
      </c>
      <c r="D1173" s="8">
        <v>1.61</v>
      </c>
      <c r="E1173" s="4">
        <v>0</v>
      </c>
      <c r="F1173" s="8">
        <v>0</v>
      </c>
      <c r="G1173" s="4">
        <v>1</v>
      </c>
      <c r="H1173" s="8">
        <v>7.69</v>
      </c>
      <c r="I1173" s="4">
        <v>0</v>
      </c>
    </row>
    <row r="1174" spans="1:9" x14ac:dyDescent="0.2">
      <c r="A1174" s="2">
        <v>11</v>
      </c>
      <c r="B1174" s="1" t="s">
        <v>261</v>
      </c>
      <c r="C1174" s="4">
        <v>1</v>
      </c>
      <c r="D1174" s="8">
        <v>1.61</v>
      </c>
      <c r="E1174" s="4">
        <v>1</v>
      </c>
      <c r="F1174" s="8">
        <v>2.13</v>
      </c>
      <c r="G1174" s="4">
        <v>0</v>
      </c>
      <c r="H1174" s="8">
        <v>0</v>
      </c>
      <c r="I1174" s="4">
        <v>0</v>
      </c>
    </row>
    <row r="1175" spans="1:9" x14ac:dyDescent="0.2">
      <c r="A1175" s="2">
        <v>11</v>
      </c>
      <c r="B1175" s="1" t="s">
        <v>237</v>
      </c>
      <c r="C1175" s="4">
        <v>1</v>
      </c>
      <c r="D1175" s="8">
        <v>1.61</v>
      </c>
      <c r="E1175" s="4">
        <v>1</v>
      </c>
      <c r="F1175" s="8">
        <v>2.13</v>
      </c>
      <c r="G1175" s="4">
        <v>0</v>
      </c>
      <c r="H1175" s="8">
        <v>0</v>
      </c>
      <c r="I1175" s="4">
        <v>0</v>
      </c>
    </row>
    <row r="1176" spans="1:9" x14ac:dyDescent="0.2">
      <c r="A1176" s="2">
        <v>11</v>
      </c>
      <c r="B1176" s="1" t="s">
        <v>197</v>
      </c>
      <c r="C1176" s="4">
        <v>1</v>
      </c>
      <c r="D1176" s="8">
        <v>1.61</v>
      </c>
      <c r="E1176" s="4">
        <v>0</v>
      </c>
      <c r="F1176" s="8">
        <v>0</v>
      </c>
      <c r="G1176" s="4">
        <v>0</v>
      </c>
      <c r="H1176" s="8">
        <v>0</v>
      </c>
      <c r="I1176" s="4">
        <v>0</v>
      </c>
    </row>
    <row r="1177" spans="1:9" x14ac:dyDescent="0.2">
      <c r="A1177" s="2">
        <v>11</v>
      </c>
      <c r="B1177" s="1" t="s">
        <v>198</v>
      </c>
      <c r="C1177" s="4">
        <v>1</v>
      </c>
      <c r="D1177" s="8">
        <v>1.61</v>
      </c>
      <c r="E1177" s="4">
        <v>1</v>
      </c>
      <c r="F1177" s="8">
        <v>2.13</v>
      </c>
      <c r="G1177" s="4">
        <v>0</v>
      </c>
      <c r="H1177" s="8">
        <v>0</v>
      </c>
      <c r="I1177" s="4">
        <v>0</v>
      </c>
    </row>
    <row r="1178" spans="1:9" x14ac:dyDescent="0.2">
      <c r="A1178" s="2">
        <v>11</v>
      </c>
      <c r="B1178" s="1" t="s">
        <v>164</v>
      </c>
      <c r="C1178" s="4">
        <v>1</v>
      </c>
      <c r="D1178" s="8">
        <v>1.61</v>
      </c>
      <c r="E1178" s="4">
        <v>1</v>
      </c>
      <c r="F1178" s="8">
        <v>2.13</v>
      </c>
      <c r="G1178" s="4">
        <v>0</v>
      </c>
      <c r="H1178" s="8">
        <v>0</v>
      </c>
      <c r="I1178" s="4">
        <v>0</v>
      </c>
    </row>
    <row r="1179" spans="1:9" x14ac:dyDescent="0.2">
      <c r="A1179" s="2">
        <v>11</v>
      </c>
      <c r="B1179" s="1" t="s">
        <v>139</v>
      </c>
      <c r="C1179" s="4">
        <v>1</v>
      </c>
      <c r="D1179" s="8">
        <v>1.61</v>
      </c>
      <c r="E1179" s="4">
        <v>1</v>
      </c>
      <c r="F1179" s="8">
        <v>2.13</v>
      </c>
      <c r="G1179" s="4">
        <v>0</v>
      </c>
      <c r="H1179" s="8">
        <v>0</v>
      </c>
      <c r="I1179" s="4">
        <v>0</v>
      </c>
    </row>
    <row r="1180" spans="1:9" x14ac:dyDescent="0.2">
      <c r="A1180" s="2">
        <v>11</v>
      </c>
      <c r="B1180" s="1" t="s">
        <v>166</v>
      </c>
      <c r="C1180" s="4">
        <v>1</v>
      </c>
      <c r="D1180" s="8">
        <v>1.61</v>
      </c>
      <c r="E1180" s="4">
        <v>1</v>
      </c>
      <c r="F1180" s="8">
        <v>2.13</v>
      </c>
      <c r="G1180" s="4">
        <v>0</v>
      </c>
      <c r="H1180" s="8">
        <v>0</v>
      </c>
      <c r="I1180" s="4">
        <v>0</v>
      </c>
    </row>
    <row r="1181" spans="1:9" x14ac:dyDescent="0.2">
      <c r="A1181" s="2">
        <v>11</v>
      </c>
      <c r="B1181" s="1" t="s">
        <v>141</v>
      </c>
      <c r="C1181" s="4">
        <v>1</v>
      </c>
      <c r="D1181" s="8">
        <v>1.61</v>
      </c>
      <c r="E1181" s="4">
        <v>1</v>
      </c>
      <c r="F1181" s="8">
        <v>2.13</v>
      </c>
      <c r="G1181" s="4">
        <v>0</v>
      </c>
      <c r="H1181" s="8">
        <v>0</v>
      </c>
      <c r="I1181" s="4">
        <v>0</v>
      </c>
    </row>
    <row r="1182" spans="1:9" x14ac:dyDescent="0.2">
      <c r="A1182" s="2">
        <v>11</v>
      </c>
      <c r="B1182" s="1" t="s">
        <v>142</v>
      </c>
      <c r="C1182" s="4">
        <v>1</v>
      </c>
      <c r="D1182" s="8">
        <v>1.61</v>
      </c>
      <c r="E1182" s="4">
        <v>0</v>
      </c>
      <c r="F1182" s="8">
        <v>0</v>
      </c>
      <c r="G1182" s="4">
        <v>1</v>
      </c>
      <c r="H1182" s="8">
        <v>7.69</v>
      </c>
      <c r="I1182" s="4">
        <v>0</v>
      </c>
    </row>
    <row r="1183" spans="1:9" x14ac:dyDescent="0.2">
      <c r="A1183" s="2">
        <v>11</v>
      </c>
      <c r="B1183" s="1" t="s">
        <v>204</v>
      </c>
      <c r="C1183" s="4">
        <v>1</v>
      </c>
      <c r="D1183" s="8">
        <v>1.61</v>
      </c>
      <c r="E1183" s="4">
        <v>0</v>
      </c>
      <c r="F1183" s="8">
        <v>0</v>
      </c>
      <c r="G1183" s="4">
        <v>1</v>
      </c>
      <c r="H1183" s="8">
        <v>7.69</v>
      </c>
      <c r="I1183" s="4">
        <v>0</v>
      </c>
    </row>
    <row r="1184" spans="1:9" x14ac:dyDescent="0.2">
      <c r="A1184" s="2">
        <v>11</v>
      </c>
      <c r="B1184" s="1" t="s">
        <v>168</v>
      </c>
      <c r="C1184" s="4">
        <v>1</v>
      </c>
      <c r="D1184" s="8">
        <v>1.61</v>
      </c>
      <c r="E1184" s="4">
        <v>1</v>
      </c>
      <c r="F1184" s="8">
        <v>2.13</v>
      </c>
      <c r="G1184" s="4">
        <v>0</v>
      </c>
      <c r="H1184" s="8">
        <v>0</v>
      </c>
      <c r="I1184" s="4">
        <v>0</v>
      </c>
    </row>
    <row r="1185" spans="1:9" x14ac:dyDescent="0.2">
      <c r="A1185" s="2">
        <v>11</v>
      </c>
      <c r="B1185" s="1" t="s">
        <v>143</v>
      </c>
      <c r="C1185" s="4">
        <v>1</v>
      </c>
      <c r="D1185" s="8">
        <v>1.61</v>
      </c>
      <c r="E1185" s="4">
        <v>1</v>
      </c>
      <c r="F1185" s="8">
        <v>2.13</v>
      </c>
      <c r="G1185" s="4">
        <v>0</v>
      </c>
      <c r="H1185" s="8">
        <v>0</v>
      </c>
      <c r="I1185" s="4">
        <v>0</v>
      </c>
    </row>
    <row r="1186" spans="1:9" x14ac:dyDescent="0.2">
      <c r="A1186" s="2">
        <v>11</v>
      </c>
      <c r="B1186" s="1" t="s">
        <v>262</v>
      </c>
      <c r="C1186" s="4">
        <v>1</v>
      </c>
      <c r="D1186" s="8">
        <v>1.61</v>
      </c>
      <c r="E1186" s="4">
        <v>0</v>
      </c>
      <c r="F1186" s="8">
        <v>0</v>
      </c>
      <c r="G1186" s="4">
        <v>1</v>
      </c>
      <c r="H1186" s="8">
        <v>7.69</v>
      </c>
      <c r="I1186" s="4">
        <v>0</v>
      </c>
    </row>
    <row r="1187" spans="1:9" x14ac:dyDescent="0.2">
      <c r="A1187" s="2">
        <v>11</v>
      </c>
      <c r="B1187" s="1" t="s">
        <v>263</v>
      </c>
      <c r="C1187" s="4">
        <v>1</v>
      </c>
      <c r="D1187" s="8">
        <v>1.61</v>
      </c>
      <c r="E1187" s="4">
        <v>0</v>
      </c>
      <c r="F1187" s="8">
        <v>0</v>
      </c>
      <c r="G1187" s="4">
        <v>1</v>
      </c>
      <c r="H1187" s="8">
        <v>7.69</v>
      </c>
      <c r="I1187" s="4">
        <v>0</v>
      </c>
    </row>
    <row r="1188" spans="1:9" x14ac:dyDescent="0.2">
      <c r="A1188" s="2">
        <v>11</v>
      </c>
      <c r="B1188" s="1" t="s">
        <v>148</v>
      </c>
      <c r="C1188" s="4">
        <v>1</v>
      </c>
      <c r="D1188" s="8">
        <v>1.61</v>
      </c>
      <c r="E1188" s="4">
        <v>1</v>
      </c>
      <c r="F1188" s="8">
        <v>2.13</v>
      </c>
      <c r="G1188" s="4">
        <v>0</v>
      </c>
      <c r="H1188" s="8">
        <v>0</v>
      </c>
      <c r="I1188" s="4">
        <v>0</v>
      </c>
    </row>
    <row r="1189" spans="1:9" x14ac:dyDescent="0.2">
      <c r="A1189" s="2">
        <v>11</v>
      </c>
      <c r="B1189" s="1" t="s">
        <v>264</v>
      </c>
      <c r="C1189" s="4">
        <v>1</v>
      </c>
      <c r="D1189" s="8">
        <v>1.61</v>
      </c>
      <c r="E1189" s="4">
        <v>0</v>
      </c>
      <c r="F1189" s="8">
        <v>0</v>
      </c>
      <c r="G1189" s="4">
        <v>0</v>
      </c>
      <c r="H1189" s="8">
        <v>0</v>
      </c>
      <c r="I1189" s="4">
        <v>0</v>
      </c>
    </row>
    <row r="1190" spans="1:9" x14ac:dyDescent="0.2">
      <c r="A1190" s="2">
        <v>11</v>
      </c>
      <c r="B1190" s="1" t="s">
        <v>172</v>
      </c>
      <c r="C1190" s="4">
        <v>1</v>
      </c>
      <c r="D1190" s="8">
        <v>1.61</v>
      </c>
      <c r="E1190" s="4">
        <v>1</v>
      </c>
      <c r="F1190" s="8">
        <v>2.13</v>
      </c>
      <c r="G1190" s="4">
        <v>0</v>
      </c>
      <c r="H1190" s="8">
        <v>0</v>
      </c>
      <c r="I1190" s="4">
        <v>0</v>
      </c>
    </row>
    <row r="1191" spans="1:9" x14ac:dyDescent="0.2">
      <c r="A1191" s="2">
        <v>11</v>
      </c>
      <c r="B1191" s="1" t="s">
        <v>152</v>
      </c>
      <c r="C1191" s="4">
        <v>1</v>
      </c>
      <c r="D1191" s="8">
        <v>1.61</v>
      </c>
      <c r="E1191" s="4">
        <v>1</v>
      </c>
      <c r="F1191" s="8">
        <v>2.13</v>
      </c>
      <c r="G1191" s="4">
        <v>0</v>
      </c>
      <c r="H1191" s="8">
        <v>0</v>
      </c>
      <c r="I1191" s="4">
        <v>0</v>
      </c>
    </row>
    <row r="1192" spans="1:9" x14ac:dyDescent="0.2">
      <c r="A1192" s="2">
        <v>11</v>
      </c>
      <c r="B1192" s="1" t="s">
        <v>210</v>
      </c>
      <c r="C1192" s="4">
        <v>1</v>
      </c>
      <c r="D1192" s="8">
        <v>1.61</v>
      </c>
      <c r="E1192" s="4">
        <v>1</v>
      </c>
      <c r="F1192" s="8">
        <v>2.13</v>
      </c>
      <c r="G1192" s="4">
        <v>0</v>
      </c>
      <c r="H1192" s="8">
        <v>0</v>
      </c>
      <c r="I1192" s="4">
        <v>0</v>
      </c>
    </row>
    <row r="1193" spans="1:9" x14ac:dyDescent="0.2">
      <c r="A1193" s="2">
        <v>11</v>
      </c>
      <c r="B1193" s="1" t="s">
        <v>211</v>
      </c>
      <c r="C1193" s="4">
        <v>1</v>
      </c>
      <c r="D1193" s="8">
        <v>1.61</v>
      </c>
      <c r="E1193" s="4">
        <v>0</v>
      </c>
      <c r="F1193" s="8">
        <v>0</v>
      </c>
      <c r="G1193" s="4">
        <v>1</v>
      </c>
      <c r="H1193" s="8">
        <v>7.69</v>
      </c>
      <c r="I1193" s="4">
        <v>0</v>
      </c>
    </row>
    <row r="1194" spans="1:9" x14ac:dyDescent="0.2">
      <c r="A1194" s="1"/>
      <c r="C1194" s="4"/>
      <c r="D1194" s="8"/>
      <c r="E1194" s="4"/>
      <c r="F1194" s="8"/>
      <c r="G1194" s="4"/>
      <c r="H1194" s="8"/>
      <c r="I1194" s="4"/>
    </row>
    <row r="1195" spans="1:9" x14ac:dyDescent="0.2">
      <c r="A1195" s="1" t="s">
        <v>45</v>
      </c>
      <c r="C1195" s="4"/>
      <c r="D1195" s="8"/>
      <c r="E1195" s="4"/>
      <c r="F1195" s="8"/>
      <c r="G1195" s="4"/>
      <c r="H1195" s="8"/>
      <c r="I1195" s="4"/>
    </row>
    <row r="1196" spans="1:9" x14ac:dyDescent="0.2">
      <c r="A1196" s="2">
        <v>1</v>
      </c>
      <c r="B1196" s="1" t="s">
        <v>135</v>
      </c>
      <c r="C1196" s="4">
        <v>7</v>
      </c>
      <c r="D1196" s="8">
        <v>6.6</v>
      </c>
      <c r="E1196" s="4">
        <v>4</v>
      </c>
      <c r="F1196" s="8">
        <v>5.71</v>
      </c>
      <c r="G1196" s="4">
        <v>3</v>
      </c>
      <c r="H1196" s="8">
        <v>9.09</v>
      </c>
      <c r="I1196" s="4">
        <v>0</v>
      </c>
    </row>
    <row r="1197" spans="1:9" x14ac:dyDescent="0.2">
      <c r="A1197" s="2">
        <v>2</v>
      </c>
      <c r="B1197" s="1" t="s">
        <v>151</v>
      </c>
      <c r="C1197" s="4">
        <v>5</v>
      </c>
      <c r="D1197" s="8">
        <v>4.72</v>
      </c>
      <c r="E1197" s="4">
        <v>5</v>
      </c>
      <c r="F1197" s="8">
        <v>7.14</v>
      </c>
      <c r="G1197" s="4">
        <v>0</v>
      </c>
      <c r="H1197" s="8">
        <v>0</v>
      </c>
      <c r="I1197" s="4">
        <v>0</v>
      </c>
    </row>
    <row r="1198" spans="1:9" x14ac:dyDescent="0.2">
      <c r="A1198" s="2">
        <v>3</v>
      </c>
      <c r="B1198" s="1" t="s">
        <v>141</v>
      </c>
      <c r="C1198" s="4">
        <v>4</v>
      </c>
      <c r="D1198" s="8">
        <v>3.77</v>
      </c>
      <c r="E1198" s="4">
        <v>2</v>
      </c>
      <c r="F1198" s="8">
        <v>2.86</v>
      </c>
      <c r="G1198" s="4">
        <v>2</v>
      </c>
      <c r="H1198" s="8">
        <v>6.06</v>
      </c>
      <c r="I1198" s="4">
        <v>0</v>
      </c>
    </row>
    <row r="1199" spans="1:9" x14ac:dyDescent="0.2">
      <c r="A1199" s="2">
        <v>3</v>
      </c>
      <c r="B1199" s="1" t="s">
        <v>143</v>
      </c>
      <c r="C1199" s="4">
        <v>4</v>
      </c>
      <c r="D1199" s="8">
        <v>3.77</v>
      </c>
      <c r="E1199" s="4">
        <v>3</v>
      </c>
      <c r="F1199" s="8">
        <v>4.29</v>
      </c>
      <c r="G1199" s="4">
        <v>1</v>
      </c>
      <c r="H1199" s="8">
        <v>3.03</v>
      </c>
      <c r="I1199" s="4">
        <v>0</v>
      </c>
    </row>
    <row r="1200" spans="1:9" x14ac:dyDescent="0.2">
      <c r="A1200" s="2">
        <v>3</v>
      </c>
      <c r="B1200" s="1" t="s">
        <v>150</v>
      </c>
      <c r="C1200" s="4">
        <v>4</v>
      </c>
      <c r="D1200" s="8">
        <v>3.77</v>
      </c>
      <c r="E1200" s="4">
        <v>4</v>
      </c>
      <c r="F1200" s="8">
        <v>5.71</v>
      </c>
      <c r="G1200" s="4">
        <v>0</v>
      </c>
      <c r="H1200" s="8">
        <v>0</v>
      </c>
      <c r="I1200" s="4">
        <v>0</v>
      </c>
    </row>
    <row r="1201" spans="1:9" x14ac:dyDescent="0.2">
      <c r="A1201" s="2">
        <v>6</v>
      </c>
      <c r="B1201" s="1" t="s">
        <v>137</v>
      </c>
      <c r="C1201" s="4">
        <v>3</v>
      </c>
      <c r="D1201" s="8">
        <v>2.83</v>
      </c>
      <c r="E1201" s="4">
        <v>3</v>
      </c>
      <c r="F1201" s="8">
        <v>4.29</v>
      </c>
      <c r="G1201" s="4">
        <v>0</v>
      </c>
      <c r="H1201" s="8">
        <v>0</v>
      </c>
      <c r="I1201" s="4">
        <v>0</v>
      </c>
    </row>
    <row r="1202" spans="1:9" x14ac:dyDescent="0.2">
      <c r="A1202" s="2">
        <v>6</v>
      </c>
      <c r="B1202" s="1" t="s">
        <v>185</v>
      </c>
      <c r="C1202" s="4">
        <v>3</v>
      </c>
      <c r="D1202" s="8">
        <v>2.83</v>
      </c>
      <c r="E1202" s="4">
        <v>0</v>
      </c>
      <c r="F1202" s="8">
        <v>0</v>
      </c>
      <c r="G1202" s="4">
        <v>3</v>
      </c>
      <c r="H1202" s="8">
        <v>9.09</v>
      </c>
      <c r="I1202" s="4">
        <v>0</v>
      </c>
    </row>
    <row r="1203" spans="1:9" x14ac:dyDescent="0.2">
      <c r="A1203" s="2">
        <v>6</v>
      </c>
      <c r="B1203" s="1" t="s">
        <v>266</v>
      </c>
      <c r="C1203" s="4">
        <v>3</v>
      </c>
      <c r="D1203" s="8">
        <v>2.83</v>
      </c>
      <c r="E1203" s="4">
        <v>2</v>
      </c>
      <c r="F1203" s="8">
        <v>2.86</v>
      </c>
      <c r="G1203" s="4">
        <v>1</v>
      </c>
      <c r="H1203" s="8">
        <v>3.03</v>
      </c>
      <c r="I1203" s="4">
        <v>0</v>
      </c>
    </row>
    <row r="1204" spans="1:9" x14ac:dyDescent="0.2">
      <c r="A1204" s="2">
        <v>6</v>
      </c>
      <c r="B1204" s="1" t="s">
        <v>186</v>
      </c>
      <c r="C1204" s="4">
        <v>3</v>
      </c>
      <c r="D1204" s="8">
        <v>2.83</v>
      </c>
      <c r="E1204" s="4">
        <v>0</v>
      </c>
      <c r="F1204" s="8">
        <v>0</v>
      </c>
      <c r="G1204" s="4">
        <v>3</v>
      </c>
      <c r="H1204" s="8">
        <v>9.09</v>
      </c>
      <c r="I1204" s="4">
        <v>0</v>
      </c>
    </row>
    <row r="1205" spans="1:9" x14ac:dyDescent="0.2">
      <c r="A1205" s="2">
        <v>6</v>
      </c>
      <c r="B1205" s="1" t="s">
        <v>201</v>
      </c>
      <c r="C1205" s="4">
        <v>3</v>
      </c>
      <c r="D1205" s="8">
        <v>2.83</v>
      </c>
      <c r="E1205" s="4">
        <v>3</v>
      </c>
      <c r="F1205" s="8">
        <v>4.29</v>
      </c>
      <c r="G1205" s="4">
        <v>0</v>
      </c>
      <c r="H1205" s="8">
        <v>0</v>
      </c>
      <c r="I1205" s="4">
        <v>0</v>
      </c>
    </row>
    <row r="1206" spans="1:9" x14ac:dyDescent="0.2">
      <c r="A1206" s="2">
        <v>6</v>
      </c>
      <c r="B1206" s="1" t="s">
        <v>140</v>
      </c>
      <c r="C1206" s="4">
        <v>3</v>
      </c>
      <c r="D1206" s="8">
        <v>2.83</v>
      </c>
      <c r="E1206" s="4">
        <v>3</v>
      </c>
      <c r="F1206" s="8">
        <v>4.29</v>
      </c>
      <c r="G1206" s="4">
        <v>0</v>
      </c>
      <c r="H1206" s="8">
        <v>0</v>
      </c>
      <c r="I1206" s="4">
        <v>0</v>
      </c>
    </row>
    <row r="1207" spans="1:9" x14ac:dyDescent="0.2">
      <c r="A1207" s="2">
        <v>6</v>
      </c>
      <c r="B1207" s="1" t="s">
        <v>168</v>
      </c>
      <c r="C1207" s="4">
        <v>3</v>
      </c>
      <c r="D1207" s="8">
        <v>2.83</v>
      </c>
      <c r="E1207" s="4">
        <v>1</v>
      </c>
      <c r="F1207" s="8">
        <v>1.43</v>
      </c>
      <c r="G1207" s="4">
        <v>2</v>
      </c>
      <c r="H1207" s="8">
        <v>6.06</v>
      </c>
      <c r="I1207" s="4">
        <v>0</v>
      </c>
    </row>
    <row r="1208" spans="1:9" x14ac:dyDescent="0.2">
      <c r="A1208" s="2">
        <v>6</v>
      </c>
      <c r="B1208" s="1" t="s">
        <v>154</v>
      </c>
      <c r="C1208" s="4">
        <v>3</v>
      </c>
      <c r="D1208" s="8">
        <v>2.83</v>
      </c>
      <c r="E1208" s="4">
        <v>2</v>
      </c>
      <c r="F1208" s="8">
        <v>2.86</v>
      </c>
      <c r="G1208" s="4">
        <v>1</v>
      </c>
      <c r="H1208" s="8">
        <v>3.03</v>
      </c>
      <c r="I1208" s="4">
        <v>0</v>
      </c>
    </row>
    <row r="1209" spans="1:9" x14ac:dyDescent="0.2">
      <c r="A1209" s="2">
        <v>14</v>
      </c>
      <c r="B1209" s="1" t="s">
        <v>136</v>
      </c>
      <c r="C1209" s="4">
        <v>2</v>
      </c>
      <c r="D1209" s="8">
        <v>1.89</v>
      </c>
      <c r="E1209" s="4">
        <v>2</v>
      </c>
      <c r="F1209" s="8">
        <v>2.86</v>
      </c>
      <c r="G1209" s="4">
        <v>0</v>
      </c>
      <c r="H1209" s="8">
        <v>0</v>
      </c>
      <c r="I1209" s="4">
        <v>0</v>
      </c>
    </row>
    <row r="1210" spans="1:9" x14ac:dyDescent="0.2">
      <c r="A1210" s="2">
        <v>14</v>
      </c>
      <c r="B1210" s="1" t="s">
        <v>259</v>
      </c>
      <c r="C1210" s="4">
        <v>2</v>
      </c>
      <c r="D1210" s="8">
        <v>1.89</v>
      </c>
      <c r="E1210" s="4">
        <v>2</v>
      </c>
      <c r="F1210" s="8">
        <v>2.86</v>
      </c>
      <c r="G1210" s="4">
        <v>0</v>
      </c>
      <c r="H1210" s="8">
        <v>0</v>
      </c>
      <c r="I1210" s="4">
        <v>0</v>
      </c>
    </row>
    <row r="1211" spans="1:9" x14ac:dyDescent="0.2">
      <c r="A1211" s="2">
        <v>14</v>
      </c>
      <c r="B1211" s="1" t="s">
        <v>184</v>
      </c>
      <c r="C1211" s="4">
        <v>2</v>
      </c>
      <c r="D1211" s="8">
        <v>1.89</v>
      </c>
      <c r="E1211" s="4">
        <v>1</v>
      </c>
      <c r="F1211" s="8">
        <v>1.43</v>
      </c>
      <c r="G1211" s="4">
        <v>1</v>
      </c>
      <c r="H1211" s="8">
        <v>3.03</v>
      </c>
      <c r="I1211" s="4">
        <v>0</v>
      </c>
    </row>
    <row r="1212" spans="1:9" x14ac:dyDescent="0.2">
      <c r="A1212" s="2">
        <v>14</v>
      </c>
      <c r="B1212" s="1" t="s">
        <v>175</v>
      </c>
      <c r="C1212" s="4">
        <v>2</v>
      </c>
      <c r="D1212" s="8">
        <v>1.89</v>
      </c>
      <c r="E1212" s="4">
        <v>2</v>
      </c>
      <c r="F1212" s="8">
        <v>2.86</v>
      </c>
      <c r="G1212" s="4">
        <v>0</v>
      </c>
      <c r="H1212" s="8">
        <v>0</v>
      </c>
      <c r="I1212" s="4">
        <v>0</v>
      </c>
    </row>
    <row r="1213" spans="1:9" x14ac:dyDescent="0.2">
      <c r="A1213" s="2">
        <v>14</v>
      </c>
      <c r="B1213" s="1" t="s">
        <v>138</v>
      </c>
      <c r="C1213" s="4">
        <v>2</v>
      </c>
      <c r="D1213" s="8">
        <v>1.89</v>
      </c>
      <c r="E1213" s="4">
        <v>2</v>
      </c>
      <c r="F1213" s="8">
        <v>2.86</v>
      </c>
      <c r="G1213" s="4">
        <v>0</v>
      </c>
      <c r="H1213" s="8">
        <v>0</v>
      </c>
      <c r="I1213" s="4">
        <v>0</v>
      </c>
    </row>
    <row r="1214" spans="1:9" x14ac:dyDescent="0.2">
      <c r="A1214" s="2">
        <v>14</v>
      </c>
      <c r="B1214" s="1" t="s">
        <v>260</v>
      </c>
      <c r="C1214" s="4">
        <v>2</v>
      </c>
      <c r="D1214" s="8">
        <v>1.89</v>
      </c>
      <c r="E1214" s="4">
        <v>0</v>
      </c>
      <c r="F1214" s="8">
        <v>0</v>
      </c>
      <c r="G1214" s="4">
        <v>2</v>
      </c>
      <c r="H1214" s="8">
        <v>6.06</v>
      </c>
      <c r="I1214" s="4">
        <v>0</v>
      </c>
    </row>
    <row r="1215" spans="1:9" x14ac:dyDescent="0.2">
      <c r="A1215" s="2">
        <v>14</v>
      </c>
      <c r="B1215" s="1" t="s">
        <v>243</v>
      </c>
      <c r="C1215" s="4">
        <v>2</v>
      </c>
      <c r="D1215" s="8">
        <v>1.89</v>
      </c>
      <c r="E1215" s="4">
        <v>0</v>
      </c>
      <c r="F1215" s="8">
        <v>0</v>
      </c>
      <c r="G1215" s="4">
        <v>2</v>
      </c>
      <c r="H1215" s="8">
        <v>6.06</v>
      </c>
      <c r="I1215" s="4">
        <v>0</v>
      </c>
    </row>
    <row r="1216" spans="1:9" x14ac:dyDescent="0.2">
      <c r="A1216" s="2">
        <v>14</v>
      </c>
      <c r="B1216" s="1" t="s">
        <v>267</v>
      </c>
      <c r="C1216" s="4">
        <v>2</v>
      </c>
      <c r="D1216" s="8">
        <v>1.89</v>
      </c>
      <c r="E1216" s="4">
        <v>1</v>
      </c>
      <c r="F1216" s="8">
        <v>1.43</v>
      </c>
      <c r="G1216" s="4">
        <v>1</v>
      </c>
      <c r="H1216" s="8">
        <v>3.03</v>
      </c>
      <c r="I1216" s="4">
        <v>0</v>
      </c>
    </row>
    <row r="1217" spans="1:9" x14ac:dyDescent="0.2">
      <c r="A1217" s="2">
        <v>14</v>
      </c>
      <c r="B1217" s="1" t="s">
        <v>174</v>
      </c>
      <c r="C1217" s="4">
        <v>2</v>
      </c>
      <c r="D1217" s="8">
        <v>1.89</v>
      </c>
      <c r="E1217" s="4">
        <v>2</v>
      </c>
      <c r="F1217" s="8">
        <v>2.86</v>
      </c>
      <c r="G1217" s="4">
        <v>0</v>
      </c>
      <c r="H1217" s="8">
        <v>0</v>
      </c>
      <c r="I1217" s="4">
        <v>0</v>
      </c>
    </row>
    <row r="1218" spans="1:9" x14ac:dyDescent="0.2">
      <c r="A1218" s="2">
        <v>14</v>
      </c>
      <c r="B1218" s="1" t="s">
        <v>250</v>
      </c>
      <c r="C1218" s="4">
        <v>2</v>
      </c>
      <c r="D1218" s="8">
        <v>1.89</v>
      </c>
      <c r="E1218" s="4">
        <v>1</v>
      </c>
      <c r="F1218" s="8">
        <v>1.43</v>
      </c>
      <c r="G1218" s="4">
        <v>1</v>
      </c>
      <c r="H1218" s="8">
        <v>3.03</v>
      </c>
      <c r="I1218" s="4">
        <v>0</v>
      </c>
    </row>
    <row r="1219" spans="1:9" x14ac:dyDescent="0.2">
      <c r="A1219" s="2">
        <v>14</v>
      </c>
      <c r="B1219" s="1" t="s">
        <v>172</v>
      </c>
      <c r="C1219" s="4">
        <v>2</v>
      </c>
      <c r="D1219" s="8">
        <v>1.89</v>
      </c>
      <c r="E1219" s="4">
        <v>2</v>
      </c>
      <c r="F1219" s="8">
        <v>2.86</v>
      </c>
      <c r="G1219" s="4">
        <v>0</v>
      </c>
      <c r="H1219" s="8">
        <v>0</v>
      </c>
      <c r="I1219" s="4">
        <v>0</v>
      </c>
    </row>
    <row r="1220" spans="1:9" x14ac:dyDescent="0.2">
      <c r="A1220" s="2">
        <v>14</v>
      </c>
      <c r="B1220" s="1" t="s">
        <v>152</v>
      </c>
      <c r="C1220" s="4">
        <v>2</v>
      </c>
      <c r="D1220" s="8">
        <v>1.89</v>
      </c>
      <c r="E1220" s="4">
        <v>2</v>
      </c>
      <c r="F1220" s="8">
        <v>2.86</v>
      </c>
      <c r="G1220" s="4">
        <v>0</v>
      </c>
      <c r="H1220" s="8">
        <v>0</v>
      </c>
      <c r="I1220" s="4">
        <v>0</v>
      </c>
    </row>
    <row r="1221" spans="1:9" x14ac:dyDescent="0.2">
      <c r="A1221" s="2">
        <v>14</v>
      </c>
      <c r="B1221" s="1" t="s">
        <v>153</v>
      </c>
      <c r="C1221" s="4">
        <v>2</v>
      </c>
      <c r="D1221" s="8">
        <v>1.89</v>
      </c>
      <c r="E1221" s="4">
        <v>2</v>
      </c>
      <c r="F1221" s="8">
        <v>2.86</v>
      </c>
      <c r="G1221" s="4">
        <v>0</v>
      </c>
      <c r="H1221" s="8">
        <v>0</v>
      </c>
      <c r="I1221" s="4">
        <v>0</v>
      </c>
    </row>
    <row r="1222" spans="1:9" x14ac:dyDescent="0.2">
      <c r="A1222" s="1"/>
      <c r="C1222" s="4"/>
      <c r="D1222" s="8"/>
      <c r="E1222" s="4"/>
      <c r="F1222" s="8"/>
      <c r="G1222" s="4"/>
      <c r="H1222" s="8"/>
      <c r="I1222" s="4"/>
    </row>
    <row r="1223" spans="1:9" x14ac:dyDescent="0.2">
      <c r="A1223" s="1" t="s">
        <v>46</v>
      </c>
      <c r="C1223" s="4"/>
      <c r="D1223" s="8"/>
      <c r="E1223" s="4"/>
      <c r="F1223" s="8"/>
      <c r="G1223" s="4"/>
      <c r="H1223" s="8"/>
      <c r="I1223" s="4"/>
    </row>
    <row r="1224" spans="1:9" x14ac:dyDescent="0.2">
      <c r="A1224" s="2">
        <v>1</v>
      </c>
      <c r="B1224" s="1" t="s">
        <v>135</v>
      </c>
      <c r="C1224" s="4">
        <v>3</v>
      </c>
      <c r="D1224" s="8">
        <v>9.68</v>
      </c>
      <c r="E1224" s="4">
        <v>2</v>
      </c>
      <c r="F1224" s="8">
        <v>10.53</v>
      </c>
      <c r="G1224" s="4">
        <v>1</v>
      </c>
      <c r="H1224" s="8">
        <v>11.11</v>
      </c>
      <c r="I1224" s="4">
        <v>0</v>
      </c>
    </row>
    <row r="1225" spans="1:9" x14ac:dyDescent="0.2">
      <c r="A1225" s="2">
        <v>1</v>
      </c>
      <c r="B1225" s="1" t="s">
        <v>201</v>
      </c>
      <c r="C1225" s="4">
        <v>3</v>
      </c>
      <c r="D1225" s="8">
        <v>9.68</v>
      </c>
      <c r="E1225" s="4">
        <v>2</v>
      </c>
      <c r="F1225" s="8">
        <v>10.53</v>
      </c>
      <c r="G1225" s="4">
        <v>1</v>
      </c>
      <c r="H1225" s="8">
        <v>11.11</v>
      </c>
      <c r="I1225" s="4">
        <v>0</v>
      </c>
    </row>
    <row r="1226" spans="1:9" x14ac:dyDescent="0.2">
      <c r="A1226" s="2">
        <v>1</v>
      </c>
      <c r="B1226" s="1" t="s">
        <v>146</v>
      </c>
      <c r="C1226" s="4">
        <v>3</v>
      </c>
      <c r="D1226" s="8">
        <v>9.68</v>
      </c>
      <c r="E1226" s="4">
        <v>0</v>
      </c>
      <c r="F1226" s="8">
        <v>0</v>
      </c>
      <c r="G1226" s="4">
        <v>1</v>
      </c>
      <c r="H1226" s="8">
        <v>11.11</v>
      </c>
      <c r="I1226" s="4">
        <v>0</v>
      </c>
    </row>
    <row r="1227" spans="1:9" x14ac:dyDescent="0.2">
      <c r="A1227" s="2">
        <v>1</v>
      </c>
      <c r="B1227" s="1" t="s">
        <v>181</v>
      </c>
      <c r="C1227" s="4">
        <v>3</v>
      </c>
      <c r="D1227" s="8">
        <v>9.68</v>
      </c>
      <c r="E1227" s="4">
        <v>3</v>
      </c>
      <c r="F1227" s="8">
        <v>15.79</v>
      </c>
      <c r="G1227" s="4">
        <v>0</v>
      </c>
      <c r="H1227" s="8">
        <v>0</v>
      </c>
      <c r="I1227" s="4">
        <v>0</v>
      </c>
    </row>
    <row r="1228" spans="1:9" x14ac:dyDescent="0.2">
      <c r="A1228" s="2">
        <v>5</v>
      </c>
      <c r="B1228" s="1" t="s">
        <v>140</v>
      </c>
      <c r="C1228" s="4">
        <v>2</v>
      </c>
      <c r="D1228" s="8">
        <v>6.45</v>
      </c>
      <c r="E1228" s="4">
        <v>1</v>
      </c>
      <c r="F1228" s="8">
        <v>5.26</v>
      </c>
      <c r="G1228" s="4">
        <v>1</v>
      </c>
      <c r="H1228" s="8">
        <v>11.11</v>
      </c>
      <c r="I1228" s="4">
        <v>0</v>
      </c>
    </row>
    <row r="1229" spans="1:9" x14ac:dyDescent="0.2">
      <c r="A1229" s="2">
        <v>5</v>
      </c>
      <c r="B1229" s="1" t="s">
        <v>150</v>
      </c>
      <c r="C1229" s="4">
        <v>2</v>
      </c>
      <c r="D1229" s="8">
        <v>6.45</v>
      </c>
      <c r="E1229" s="4">
        <v>2</v>
      </c>
      <c r="F1229" s="8">
        <v>10.53</v>
      </c>
      <c r="G1229" s="4">
        <v>0</v>
      </c>
      <c r="H1229" s="8">
        <v>0</v>
      </c>
      <c r="I1229" s="4">
        <v>0</v>
      </c>
    </row>
    <row r="1230" spans="1:9" x14ac:dyDescent="0.2">
      <c r="A1230" s="2">
        <v>7</v>
      </c>
      <c r="B1230" s="1" t="s">
        <v>137</v>
      </c>
      <c r="C1230" s="4">
        <v>1</v>
      </c>
      <c r="D1230" s="8">
        <v>3.23</v>
      </c>
      <c r="E1230" s="4">
        <v>1</v>
      </c>
      <c r="F1230" s="8">
        <v>5.26</v>
      </c>
      <c r="G1230" s="4">
        <v>0</v>
      </c>
      <c r="H1230" s="8">
        <v>0</v>
      </c>
      <c r="I1230" s="4">
        <v>0</v>
      </c>
    </row>
    <row r="1231" spans="1:9" x14ac:dyDescent="0.2">
      <c r="A1231" s="2">
        <v>7</v>
      </c>
      <c r="B1231" s="1" t="s">
        <v>184</v>
      </c>
      <c r="C1231" s="4">
        <v>1</v>
      </c>
      <c r="D1231" s="8">
        <v>3.23</v>
      </c>
      <c r="E1231" s="4">
        <v>1</v>
      </c>
      <c r="F1231" s="8">
        <v>5.26</v>
      </c>
      <c r="G1231" s="4">
        <v>0</v>
      </c>
      <c r="H1231" s="8">
        <v>0</v>
      </c>
      <c r="I1231" s="4">
        <v>0</v>
      </c>
    </row>
    <row r="1232" spans="1:9" x14ac:dyDescent="0.2">
      <c r="A1232" s="2">
        <v>7</v>
      </c>
      <c r="B1232" s="1" t="s">
        <v>213</v>
      </c>
      <c r="C1232" s="4">
        <v>1</v>
      </c>
      <c r="D1232" s="8">
        <v>3.23</v>
      </c>
      <c r="E1232" s="4">
        <v>1</v>
      </c>
      <c r="F1232" s="8">
        <v>5.26</v>
      </c>
      <c r="G1232" s="4">
        <v>0</v>
      </c>
      <c r="H1232" s="8">
        <v>0</v>
      </c>
      <c r="I1232" s="4">
        <v>0</v>
      </c>
    </row>
    <row r="1233" spans="1:9" x14ac:dyDescent="0.2">
      <c r="A1233" s="2">
        <v>7</v>
      </c>
      <c r="B1233" s="1" t="s">
        <v>185</v>
      </c>
      <c r="C1233" s="4">
        <v>1</v>
      </c>
      <c r="D1233" s="8">
        <v>3.23</v>
      </c>
      <c r="E1233" s="4">
        <v>1</v>
      </c>
      <c r="F1233" s="8">
        <v>5.26</v>
      </c>
      <c r="G1233" s="4">
        <v>0</v>
      </c>
      <c r="H1233" s="8">
        <v>0</v>
      </c>
      <c r="I1233" s="4">
        <v>0</v>
      </c>
    </row>
    <row r="1234" spans="1:9" x14ac:dyDescent="0.2">
      <c r="A1234" s="2">
        <v>7</v>
      </c>
      <c r="B1234" s="1" t="s">
        <v>165</v>
      </c>
      <c r="C1234" s="4">
        <v>1</v>
      </c>
      <c r="D1234" s="8">
        <v>3.23</v>
      </c>
      <c r="E1234" s="4">
        <v>1</v>
      </c>
      <c r="F1234" s="8">
        <v>5.26</v>
      </c>
      <c r="G1234" s="4">
        <v>0</v>
      </c>
      <c r="H1234" s="8">
        <v>0</v>
      </c>
      <c r="I1234" s="4">
        <v>0</v>
      </c>
    </row>
    <row r="1235" spans="1:9" x14ac:dyDescent="0.2">
      <c r="A1235" s="2">
        <v>7</v>
      </c>
      <c r="B1235" s="1" t="s">
        <v>141</v>
      </c>
      <c r="C1235" s="4">
        <v>1</v>
      </c>
      <c r="D1235" s="8">
        <v>3.23</v>
      </c>
      <c r="E1235" s="4">
        <v>1</v>
      </c>
      <c r="F1235" s="8">
        <v>5.26</v>
      </c>
      <c r="G1235" s="4">
        <v>0</v>
      </c>
      <c r="H1235" s="8">
        <v>0</v>
      </c>
      <c r="I1235" s="4">
        <v>0</v>
      </c>
    </row>
    <row r="1236" spans="1:9" x14ac:dyDescent="0.2">
      <c r="A1236" s="2">
        <v>7</v>
      </c>
      <c r="B1236" s="1" t="s">
        <v>168</v>
      </c>
      <c r="C1236" s="4">
        <v>1</v>
      </c>
      <c r="D1236" s="8">
        <v>3.23</v>
      </c>
      <c r="E1236" s="4">
        <v>0</v>
      </c>
      <c r="F1236" s="8">
        <v>0</v>
      </c>
      <c r="G1236" s="4">
        <v>1</v>
      </c>
      <c r="H1236" s="8">
        <v>11.11</v>
      </c>
      <c r="I1236" s="4">
        <v>0</v>
      </c>
    </row>
    <row r="1237" spans="1:9" x14ac:dyDescent="0.2">
      <c r="A1237" s="2">
        <v>7</v>
      </c>
      <c r="B1237" s="1" t="s">
        <v>145</v>
      </c>
      <c r="C1237" s="4">
        <v>1</v>
      </c>
      <c r="D1237" s="8">
        <v>3.23</v>
      </c>
      <c r="E1237" s="4">
        <v>0</v>
      </c>
      <c r="F1237" s="8">
        <v>0</v>
      </c>
      <c r="G1237" s="4">
        <v>1</v>
      </c>
      <c r="H1237" s="8">
        <v>11.11</v>
      </c>
      <c r="I1237" s="4">
        <v>0</v>
      </c>
    </row>
    <row r="1238" spans="1:9" x14ac:dyDescent="0.2">
      <c r="A1238" s="2">
        <v>7</v>
      </c>
      <c r="B1238" s="1" t="s">
        <v>157</v>
      </c>
      <c r="C1238" s="4">
        <v>1</v>
      </c>
      <c r="D1238" s="8">
        <v>3.23</v>
      </c>
      <c r="E1238" s="4">
        <v>0</v>
      </c>
      <c r="F1238" s="8">
        <v>0</v>
      </c>
      <c r="G1238" s="4">
        <v>1</v>
      </c>
      <c r="H1238" s="8">
        <v>11.11</v>
      </c>
      <c r="I1238" s="4">
        <v>0</v>
      </c>
    </row>
    <row r="1239" spans="1:9" x14ac:dyDescent="0.2">
      <c r="A1239" s="2">
        <v>7</v>
      </c>
      <c r="B1239" s="1" t="s">
        <v>251</v>
      </c>
      <c r="C1239" s="4">
        <v>1</v>
      </c>
      <c r="D1239" s="8">
        <v>3.23</v>
      </c>
      <c r="E1239" s="4">
        <v>0</v>
      </c>
      <c r="F1239" s="8">
        <v>0</v>
      </c>
      <c r="G1239" s="4">
        <v>1</v>
      </c>
      <c r="H1239" s="8">
        <v>11.11</v>
      </c>
      <c r="I1239" s="4">
        <v>0</v>
      </c>
    </row>
    <row r="1240" spans="1:9" x14ac:dyDescent="0.2">
      <c r="A1240" s="2">
        <v>7</v>
      </c>
      <c r="B1240" s="1" t="s">
        <v>209</v>
      </c>
      <c r="C1240" s="4">
        <v>1</v>
      </c>
      <c r="D1240" s="8">
        <v>3.23</v>
      </c>
      <c r="E1240" s="4">
        <v>1</v>
      </c>
      <c r="F1240" s="8">
        <v>5.26</v>
      </c>
      <c r="G1240" s="4">
        <v>0</v>
      </c>
      <c r="H1240" s="8">
        <v>0</v>
      </c>
      <c r="I1240" s="4">
        <v>0</v>
      </c>
    </row>
    <row r="1241" spans="1:9" x14ac:dyDescent="0.2">
      <c r="A1241" s="2">
        <v>7</v>
      </c>
      <c r="B1241" s="1" t="s">
        <v>148</v>
      </c>
      <c r="C1241" s="4">
        <v>1</v>
      </c>
      <c r="D1241" s="8">
        <v>3.23</v>
      </c>
      <c r="E1241" s="4">
        <v>1</v>
      </c>
      <c r="F1241" s="8">
        <v>5.26</v>
      </c>
      <c r="G1241" s="4">
        <v>0</v>
      </c>
      <c r="H1241" s="8">
        <v>0</v>
      </c>
      <c r="I1241" s="4">
        <v>0</v>
      </c>
    </row>
    <row r="1242" spans="1:9" x14ac:dyDescent="0.2">
      <c r="A1242" s="2">
        <v>7</v>
      </c>
      <c r="B1242" s="1" t="s">
        <v>159</v>
      </c>
      <c r="C1242" s="4">
        <v>1</v>
      </c>
      <c r="D1242" s="8">
        <v>3.23</v>
      </c>
      <c r="E1242" s="4">
        <v>0</v>
      </c>
      <c r="F1242" s="8">
        <v>0</v>
      </c>
      <c r="G1242" s="4">
        <v>1</v>
      </c>
      <c r="H1242" s="8">
        <v>11.11</v>
      </c>
      <c r="I1242" s="4">
        <v>0</v>
      </c>
    </row>
    <row r="1243" spans="1:9" x14ac:dyDescent="0.2">
      <c r="A1243" s="2">
        <v>7</v>
      </c>
      <c r="B1243" s="1" t="s">
        <v>151</v>
      </c>
      <c r="C1243" s="4">
        <v>1</v>
      </c>
      <c r="D1243" s="8">
        <v>3.23</v>
      </c>
      <c r="E1243" s="4">
        <v>1</v>
      </c>
      <c r="F1243" s="8">
        <v>5.26</v>
      </c>
      <c r="G1243" s="4">
        <v>0</v>
      </c>
      <c r="H1243" s="8">
        <v>0</v>
      </c>
      <c r="I1243" s="4">
        <v>0</v>
      </c>
    </row>
    <row r="1244" spans="1:9" x14ac:dyDescent="0.2">
      <c r="A1244" s="2">
        <v>7</v>
      </c>
      <c r="B1244" s="1" t="s">
        <v>268</v>
      </c>
      <c r="C1244" s="4">
        <v>1</v>
      </c>
      <c r="D1244" s="8">
        <v>3.23</v>
      </c>
      <c r="E1244" s="4">
        <v>0</v>
      </c>
      <c r="F1244" s="8">
        <v>0</v>
      </c>
      <c r="G1244" s="4">
        <v>0</v>
      </c>
      <c r="H1244" s="8">
        <v>0</v>
      </c>
      <c r="I1244" s="4">
        <v>1</v>
      </c>
    </row>
    <row r="1245" spans="1:9" x14ac:dyDescent="0.2">
      <c r="A1245" s="1"/>
      <c r="C1245" s="4"/>
      <c r="D1245" s="8"/>
      <c r="E1245" s="4"/>
      <c r="F1245" s="8"/>
      <c r="G1245" s="4"/>
      <c r="H1245" s="8"/>
      <c r="I1245" s="4"/>
    </row>
    <row r="1246" spans="1:9" x14ac:dyDescent="0.2">
      <c r="A1246" s="1" t="s">
        <v>47</v>
      </c>
      <c r="C1246" s="4"/>
      <c r="D1246" s="8"/>
      <c r="E1246" s="4"/>
      <c r="F1246" s="8"/>
      <c r="G1246" s="4"/>
      <c r="H1246" s="8"/>
      <c r="I1246" s="4"/>
    </row>
    <row r="1247" spans="1:9" x14ac:dyDescent="0.2">
      <c r="A1247" s="2">
        <v>1</v>
      </c>
      <c r="B1247" s="1" t="s">
        <v>137</v>
      </c>
      <c r="C1247" s="4">
        <v>4</v>
      </c>
      <c r="D1247" s="8">
        <v>8</v>
      </c>
      <c r="E1247" s="4">
        <v>4</v>
      </c>
      <c r="F1247" s="8">
        <v>10.81</v>
      </c>
      <c r="G1247" s="4">
        <v>0</v>
      </c>
      <c r="H1247" s="8">
        <v>0</v>
      </c>
      <c r="I1247" s="4">
        <v>0</v>
      </c>
    </row>
    <row r="1248" spans="1:9" x14ac:dyDescent="0.2">
      <c r="A1248" s="2">
        <v>1</v>
      </c>
      <c r="B1248" s="1" t="s">
        <v>151</v>
      </c>
      <c r="C1248" s="4">
        <v>4</v>
      </c>
      <c r="D1248" s="8">
        <v>8</v>
      </c>
      <c r="E1248" s="4">
        <v>4</v>
      </c>
      <c r="F1248" s="8">
        <v>10.81</v>
      </c>
      <c r="G1248" s="4">
        <v>0</v>
      </c>
      <c r="H1248" s="8">
        <v>0</v>
      </c>
      <c r="I1248" s="4">
        <v>0</v>
      </c>
    </row>
    <row r="1249" spans="1:9" x14ac:dyDescent="0.2">
      <c r="A1249" s="2">
        <v>3</v>
      </c>
      <c r="B1249" s="1" t="s">
        <v>168</v>
      </c>
      <c r="C1249" s="4">
        <v>3</v>
      </c>
      <c r="D1249" s="8">
        <v>6</v>
      </c>
      <c r="E1249" s="4">
        <v>0</v>
      </c>
      <c r="F1249" s="8">
        <v>0</v>
      </c>
      <c r="G1249" s="4">
        <v>3</v>
      </c>
      <c r="H1249" s="8">
        <v>27.27</v>
      </c>
      <c r="I1249" s="4">
        <v>0</v>
      </c>
    </row>
    <row r="1250" spans="1:9" x14ac:dyDescent="0.2">
      <c r="A1250" s="2">
        <v>4</v>
      </c>
      <c r="B1250" s="1" t="s">
        <v>136</v>
      </c>
      <c r="C1250" s="4">
        <v>2</v>
      </c>
      <c r="D1250" s="8">
        <v>4</v>
      </c>
      <c r="E1250" s="4">
        <v>1</v>
      </c>
      <c r="F1250" s="8">
        <v>2.7</v>
      </c>
      <c r="G1250" s="4">
        <v>1</v>
      </c>
      <c r="H1250" s="8">
        <v>9.09</v>
      </c>
      <c r="I1250" s="4">
        <v>0</v>
      </c>
    </row>
    <row r="1251" spans="1:9" x14ac:dyDescent="0.2">
      <c r="A1251" s="2">
        <v>4</v>
      </c>
      <c r="B1251" s="1" t="s">
        <v>175</v>
      </c>
      <c r="C1251" s="4">
        <v>2</v>
      </c>
      <c r="D1251" s="8">
        <v>4</v>
      </c>
      <c r="E1251" s="4">
        <v>2</v>
      </c>
      <c r="F1251" s="8">
        <v>5.41</v>
      </c>
      <c r="G1251" s="4">
        <v>0</v>
      </c>
      <c r="H1251" s="8">
        <v>0</v>
      </c>
      <c r="I1251" s="4">
        <v>0</v>
      </c>
    </row>
    <row r="1252" spans="1:9" x14ac:dyDescent="0.2">
      <c r="A1252" s="2">
        <v>4</v>
      </c>
      <c r="B1252" s="1" t="s">
        <v>163</v>
      </c>
      <c r="C1252" s="4">
        <v>2</v>
      </c>
      <c r="D1252" s="8">
        <v>4</v>
      </c>
      <c r="E1252" s="4">
        <v>1</v>
      </c>
      <c r="F1252" s="8">
        <v>2.7</v>
      </c>
      <c r="G1252" s="4">
        <v>1</v>
      </c>
      <c r="H1252" s="8">
        <v>9.09</v>
      </c>
      <c r="I1252" s="4">
        <v>0</v>
      </c>
    </row>
    <row r="1253" spans="1:9" x14ac:dyDescent="0.2">
      <c r="A1253" s="2">
        <v>4</v>
      </c>
      <c r="B1253" s="1" t="s">
        <v>154</v>
      </c>
      <c r="C1253" s="4">
        <v>2</v>
      </c>
      <c r="D1253" s="8">
        <v>4</v>
      </c>
      <c r="E1253" s="4">
        <v>2</v>
      </c>
      <c r="F1253" s="8">
        <v>5.41</v>
      </c>
      <c r="G1253" s="4">
        <v>0</v>
      </c>
      <c r="H1253" s="8">
        <v>0</v>
      </c>
      <c r="I1253" s="4">
        <v>0</v>
      </c>
    </row>
    <row r="1254" spans="1:9" x14ac:dyDescent="0.2">
      <c r="A1254" s="2">
        <v>8</v>
      </c>
      <c r="B1254" s="1" t="s">
        <v>269</v>
      </c>
      <c r="C1254" s="4">
        <v>1</v>
      </c>
      <c r="D1254" s="8">
        <v>2</v>
      </c>
      <c r="E1254" s="4">
        <v>0</v>
      </c>
      <c r="F1254" s="8">
        <v>0</v>
      </c>
      <c r="G1254" s="4">
        <v>1</v>
      </c>
      <c r="H1254" s="8">
        <v>9.09</v>
      </c>
      <c r="I1254" s="4">
        <v>0</v>
      </c>
    </row>
    <row r="1255" spans="1:9" x14ac:dyDescent="0.2">
      <c r="A1255" s="2">
        <v>8</v>
      </c>
      <c r="B1255" s="1" t="s">
        <v>135</v>
      </c>
      <c r="C1255" s="4">
        <v>1</v>
      </c>
      <c r="D1255" s="8">
        <v>2</v>
      </c>
      <c r="E1255" s="4">
        <v>0</v>
      </c>
      <c r="F1255" s="8">
        <v>0</v>
      </c>
      <c r="G1255" s="4">
        <v>1</v>
      </c>
      <c r="H1255" s="8">
        <v>9.09</v>
      </c>
      <c r="I1255" s="4">
        <v>0</v>
      </c>
    </row>
    <row r="1256" spans="1:9" x14ac:dyDescent="0.2">
      <c r="A1256" s="2">
        <v>8</v>
      </c>
      <c r="B1256" s="1" t="s">
        <v>235</v>
      </c>
      <c r="C1256" s="4">
        <v>1</v>
      </c>
      <c r="D1256" s="8">
        <v>2</v>
      </c>
      <c r="E1256" s="4">
        <v>1</v>
      </c>
      <c r="F1256" s="8">
        <v>2.7</v>
      </c>
      <c r="G1256" s="4">
        <v>0</v>
      </c>
      <c r="H1256" s="8">
        <v>0</v>
      </c>
      <c r="I1256" s="4">
        <v>0</v>
      </c>
    </row>
    <row r="1257" spans="1:9" x14ac:dyDescent="0.2">
      <c r="A1257" s="2">
        <v>8</v>
      </c>
      <c r="B1257" s="1" t="s">
        <v>220</v>
      </c>
      <c r="C1257" s="4">
        <v>1</v>
      </c>
      <c r="D1257" s="8">
        <v>2</v>
      </c>
      <c r="E1257" s="4">
        <v>1</v>
      </c>
      <c r="F1257" s="8">
        <v>2.7</v>
      </c>
      <c r="G1257" s="4">
        <v>0</v>
      </c>
      <c r="H1257" s="8">
        <v>0</v>
      </c>
      <c r="I1257" s="4">
        <v>0</v>
      </c>
    </row>
    <row r="1258" spans="1:9" x14ac:dyDescent="0.2">
      <c r="A1258" s="2">
        <v>8</v>
      </c>
      <c r="B1258" s="1" t="s">
        <v>138</v>
      </c>
      <c r="C1258" s="4">
        <v>1</v>
      </c>
      <c r="D1258" s="8">
        <v>2</v>
      </c>
      <c r="E1258" s="4">
        <v>1</v>
      </c>
      <c r="F1258" s="8">
        <v>2.7</v>
      </c>
      <c r="G1258" s="4">
        <v>0</v>
      </c>
      <c r="H1258" s="8">
        <v>0</v>
      </c>
      <c r="I1258" s="4">
        <v>0</v>
      </c>
    </row>
    <row r="1259" spans="1:9" x14ac:dyDescent="0.2">
      <c r="A1259" s="2">
        <v>8</v>
      </c>
      <c r="B1259" s="1" t="s">
        <v>242</v>
      </c>
      <c r="C1259" s="4">
        <v>1</v>
      </c>
      <c r="D1259" s="8">
        <v>2</v>
      </c>
      <c r="E1259" s="4">
        <v>1</v>
      </c>
      <c r="F1259" s="8">
        <v>2.7</v>
      </c>
      <c r="G1259" s="4">
        <v>0</v>
      </c>
      <c r="H1259" s="8">
        <v>0</v>
      </c>
      <c r="I1259" s="4">
        <v>0</v>
      </c>
    </row>
    <row r="1260" spans="1:9" x14ac:dyDescent="0.2">
      <c r="A1260" s="2">
        <v>8</v>
      </c>
      <c r="B1260" s="1" t="s">
        <v>192</v>
      </c>
      <c r="C1260" s="4">
        <v>1</v>
      </c>
      <c r="D1260" s="8">
        <v>2</v>
      </c>
      <c r="E1260" s="4">
        <v>1</v>
      </c>
      <c r="F1260" s="8">
        <v>2.7</v>
      </c>
      <c r="G1260" s="4">
        <v>0</v>
      </c>
      <c r="H1260" s="8">
        <v>0</v>
      </c>
      <c r="I1260" s="4">
        <v>0</v>
      </c>
    </row>
    <row r="1261" spans="1:9" x14ac:dyDescent="0.2">
      <c r="A1261" s="2">
        <v>8</v>
      </c>
      <c r="B1261" s="1" t="s">
        <v>224</v>
      </c>
      <c r="C1261" s="4">
        <v>1</v>
      </c>
      <c r="D1261" s="8">
        <v>2</v>
      </c>
      <c r="E1261" s="4">
        <v>0</v>
      </c>
      <c r="F1261" s="8">
        <v>0</v>
      </c>
      <c r="G1261" s="4">
        <v>1</v>
      </c>
      <c r="H1261" s="8">
        <v>9.09</v>
      </c>
      <c r="I1261" s="4">
        <v>0</v>
      </c>
    </row>
    <row r="1262" spans="1:9" x14ac:dyDescent="0.2">
      <c r="A1262" s="2">
        <v>8</v>
      </c>
      <c r="B1262" s="1" t="s">
        <v>270</v>
      </c>
      <c r="C1262" s="4">
        <v>1</v>
      </c>
      <c r="D1262" s="8">
        <v>2</v>
      </c>
      <c r="E1262" s="4">
        <v>1</v>
      </c>
      <c r="F1262" s="8">
        <v>2.7</v>
      </c>
      <c r="G1262" s="4">
        <v>0</v>
      </c>
      <c r="H1262" s="8">
        <v>0</v>
      </c>
      <c r="I1262" s="4">
        <v>0</v>
      </c>
    </row>
    <row r="1263" spans="1:9" x14ac:dyDescent="0.2">
      <c r="A1263" s="2">
        <v>8</v>
      </c>
      <c r="B1263" s="1" t="s">
        <v>186</v>
      </c>
      <c r="C1263" s="4">
        <v>1</v>
      </c>
      <c r="D1263" s="8">
        <v>2</v>
      </c>
      <c r="E1263" s="4">
        <v>1</v>
      </c>
      <c r="F1263" s="8">
        <v>2.7</v>
      </c>
      <c r="G1263" s="4">
        <v>0</v>
      </c>
      <c r="H1263" s="8">
        <v>0</v>
      </c>
      <c r="I1263" s="4">
        <v>0</v>
      </c>
    </row>
    <row r="1264" spans="1:9" x14ac:dyDescent="0.2">
      <c r="A1264" s="2">
        <v>8</v>
      </c>
      <c r="B1264" s="1" t="s">
        <v>194</v>
      </c>
      <c r="C1264" s="4">
        <v>1</v>
      </c>
      <c r="D1264" s="8">
        <v>2</v>
      </c>
      <c r="E1264" s="4">
        <v>1</v>
      </c>
      <c r="F1264" s="8">
        <v>2.7</v>
      </c>
      <c r="G1264" s="4">
        <v>0</v>
      </c>
      <c r="H1264" s="8">
        <v>0</v>
      </c>
      <c r="I1264" s="4">
        <v>0</v>
      </c>
    </row>
    <row r="1265" spans="1:9" x14ac:dyDescent="0.2">
      <c r="A1265" s="2">
        <v>8</v>
      </c>
      <c r="B1265" s="1" t="s">
        <v>197</v>
      </c>
      <c r="C1265" s="4">
        <v>1</v>
      </c>
      <c r="D1265" s="8">
        <v>2</v>
      </c>
      <c r="E1265" s="4">
        <v>0</v>
      </c>
      <c r="F1265" s="8">
        <v>0</v>
      </c>
      <c r="G1265" s="4">
        <v>0</v>
      </c>
      <c r="H1265" s="8">
        <v>0</v>
      </c>
      <c r="I1265" s="4">
        <v>0</v>
      </c>
    </row>
    <row r="1266" spans="1:9" x14ac:dyDescent="0.2">
      <c r="A1266" s="2">
        <v>8</v>
      </c>
      <c r="B1266" s="1" t="s">
        <v>271</v>
      </c>
      <c r="C1266" s="4">
        <v>1</v>
      </c>
      <c r="D1266" s="8">
        <v>2</v>
      </c>
      <c r="E1266" s="4">
        <v>0</v>
      </c>
      <c r="F1266" s="8">
        <v>0</v>
      </c>
      <c r="G1266" s="4">
        <v>1</v>
      </c>
      <c r="H1266" s="8">
        <v>9.09</v>
      </c>
      <c r="I1266" s="4">
        <v>0</v>
      </c>
    </row>
    <row r="1267" spans="1:9" x14ac:dyDescent="0.2">
      <c r="A1267" s="2">
        <v>8</v>
      </c>
      <c r="B1267" s="1" t="s">
        <v>199</v>
      </c>
      <c r="C1267" s="4">
        <v>1</v>
      </c>
      <c r="D1267" s="8">
        <v>2</v>
      </c>
      <c r="E1267" s="4">
        <v>1</v>
      </c>
      <c r="F1267" s="8">
        <v>2.7</v>
      </c>
      <c r="G1267" s="4">
        <v>0</v>
      </c>
      <c r="H1267" s="8">
        <v>0</v>
      </c>
      <c r="I1267" s="4">
        <v>0</v>
      </c>
    </row>
    <row r="1268" spans="1:9" x14ac:dyDescent="0.2">
      <c r="A1268" s="2">
        <v>8</v>
      </c>
      <c r="B1268" s="1" t="s">
        <v>272</v>
      </c>
      <c r="C1268" s="4">
        <v>1</v>
      </c>
      <c r="D1268" s="8">
        <v>2</v>
      </c>
      <c r="E1268" s="4">
        <v>1</v>
      </c>
      <c r="F1268" s="8">
        <v>2.7</v>
      </c>
      <c r="G1268" s="4">
        <v>0</v>
      </c>
      <c r="H1268" s="8">
        <v>0</v>
      </c>
      <c r="I1268" s="4">
        <v>0</v>
      </c>
    </row>
    <row r="1269" spans="1:9" x14ac:dyDescent="0.2">
      <c r="A1269" s="2">
        <v>8</v>
      </c>
      <c r="B1269" s="1" t="s">
        <v>217</v>
      </c>
      <c r="C1269" s="4">
        <v>1</v>
      </c>
      <c r="D1269" s="8">
        <v>2</v>
      </c>
      <c r="E1269" s="4">
        <v>0</v>
      </c>
      <c r="F1269" s="8">
        <v>0</v>
      </c>
      <c r="G1269" s="4">
        <v>1</v>
      </c>
      <c r="H1269" s="8">
        <v>9.09</v>
      </c>
      <c r="I1269" s="4">
        <v>0</v>
      </c>
    </row>
    <row r="1270" spans="1:9" x14ac:dyDescent="0.2">
      <c r="A1270" s="2">
        <v>8</v>
      </c>
      <c r="B1270" s="1" t="s">
        <v>273</v>
      </c>
      <c r="C1270" s="4">
        <v>1</v>
      </c>
      <c r="D1270" s="8">
        <v>2</v>
      </c>
      <c r="E1270" s="4">
        <v>1</v>
      </c>
      <c r="F1270" s="8">
        <v>2.7</v>
      </c>
      <c r="G1270" s="4">
        <v>0</v>
      </c>
      <c r="H1270" s="8">
        <v>0</v>
      </c>
      <c r="I1270" s="4">
        <v>0</v>
      </c>
    </row>
    <row r="1271" spans="1:9" x14ac:dyDescent="0.2">
      <c r="A1271" s="2">
        <v>8</v>
      </c>
      <c r="B1271" s="1" t="s">
        <v>174</v>
      </c>
      <c r="C1271" s="4">
        <v>1</v>
      </c>
      <c r="D1271" s="8">
        <v>2</v>
      </c>
      <c r="E1271" s="4">
        <v>1</v>
      </c>
      <c r="F1271" s="8">
        <v>2.7</v>
      </c>
      <c r="G1271" s="4">
        <v>0</v>
      </c>
      <c r="H1271" s="8">
        <v>0</v>
      </c>
      <c r="I1271" s="4">
        <v>0</v>
      </c>
    </row>
    <row r="1272" spans="1:9" x14ac:dyDescent="0.2">
      <c r="A1272" s="2">
        <v>8</v>
      </c>
      <c r="B1272" s="1" t="s">
        <v>166</v>
      </c>
      <c r="C1272" s="4">
        <v>1</v>
      </c>
      <c r="D1272" s="8">
        <v>2</v>
      </c>
      <c r="E1272" s="4">
        <v>1</v>
      </c>
      <c r="F1272" s="8">
        <v>2.7</v>
      </c>
      <c r="G1272" s="4">
        <v>0</v>
      </c>
      <c r="H1272" s="8">
        <v>0</v>
      </c>
      <c r="I1272" s="4">
        <v>0</v>
      </c>
    </row>
    <row r="1273" spans="1:9" x14ac:dyDescent="0.2">
      <c r="A1273" s="2">
        <v>8</v>
      </c>
      <c r="B1273" s="1" t="s">
        <v>141</v>
      </c>
      <c r="C1273" s="4">
        <v>1</v>
      </c>
      <c r="D1273" s="8">
        <v>2</v>
      </c>
      <c r="E1273" s="4">
        <v>1</v>
      </c>
      <c r="F1273" s="8">
        <v>2.7</v>
      </c>
      <c r="G1273" s="4">
        <v>0</v>
      </c>
      <c r="H1273" s="8">
        <v>0</v>
      </c>
      <c r="I1273" s="4">
        <v>0</v>
      </c>
    </row>
    <row r="1274" spans="1:9" x14ac:dyDescent="0.2">
      <c r="A1274" s="2">
        <v>8</v>
      </c>
      <c r="B1274" s="1" t="s">
        <v>167</v>
      </c>
      <c r="C1274" s="4">
        <v>1</v>
      </c>
      <c r="D1274" s="8">
        <v>2</v>
      </c>
      <c r="E1274" s="4">
        <v>1</v>
      </c>
      <c r="F1274" s="8">
        <v>2.7</v>
      </c>
      <c r="G1274" s="4">
        <v>0</v>
      </c>
      <c r="H1274" s="8">
        <v>0</v>
      </c>
      <c r="I1274" s="4">
        <v>0</v>
      </c>
    </row>
    <row r="1275" spans="1:9" x14ac:dyDescent="0.2">
      <c r="A1275" s="2">
        <v>8</v>
      </c>
      <c r="B1275" s="1" t="s">
        <v>202</v>
      </c>
      <c r="C1275" s="4">
        <v>1</v>
      </c>
      <c r="D1275" s="8">
        <v>2</v>
      </c>
      <c r="E1275" s="4">
        <v>1</v>
      </c>
      <c r="F1275" s="8">
        <v>2.7</v>
      </c>
      <c r="G1275" s="4">
        <v>0</v>
      </c>
      <c r="H1275" s="8">
        <v>0</v>
      </c>
      <c r="I1275" s="4">
        <v>0</v>
      </c>
    </row>
    <row r="1276" spans="1:9" x14ac:dyDescent="0.2">
      <c r="A1276" s="2">
        <v>8</v>
      </c>
      <c r="B1276" s="1" t="s">
        <v>145</v>
      </c>
      <c r="C1276" s="4">
        <v>1</v>
      </c>
      <c r="D1276" s="8">
        <v>2</v>
      </c>
      <c r="E1276" s="4">
        <v>1</v>
      </c>
      <c r="F1276" s="8">
        <v>2.7</v>
      </c>
      <c r="G1276" s="4">
        <v>0</v>
      </c>
      <c r="H1276" s="8">
        <v>0</v>
      </c>
      <c r="I1276" s="4">
        <v>0</v>
      </c>
    </row>
    <row r="1277" spans="1:9" x14ac:dyDescent="0.2">
      <c r="A1277" s="2">
        <v>8</v>
      </c>
      <c r="B1277" s="1" t="s">
        <v>207</v>
      </c>
      <c r="C1277" s="4">
        <v>1</v>
      </c>
      <c r="D1277" s="8">
        <v>2</v>
      </c>
      <c r="E1277" s="4">
        <v>1</v>
      </c>
      <c r="F1277" s="8">
        <v>2.7</v>
      </c>
      <c r="G1277" s="4">
        <v>0</v>
      </c>
      <c r="H1277" s="8">
        <v>0</v>
      </c>
      <c r="I1277" s="4">
        <v>0</v>
      </c>
    </row>
    <row r="1278" spans="1:9" x14ac:dyDescent="0.2">
      <c r="A1278" s="2">
        <v>8</v>
      </c>
      <c r="B1278" s="1" t="s">
        <v>251</v>
      </c>
      <c r="C1278" s="4">
        <v>1</v>
      </c>
      <c r="D1278" s="8">
        <v>2</v>
      </c>
      <c r="E1278" s="4">
        <v>0</v>
      </c>
      <c r="F1278" s="8">
        <v>0</v>
      </c>
      <c r="G1278" s="4">
        <v>1</v>
      </c>
      <c r="H1278" s="8">
        <v>9.09</v>
      </c>
      <c r="I1278" s="4">
        <v>0</v>
      </c>
    </row>
    <row r="1279" spans="1:9" x14ac:dyDescent="0.2">
      <c r="A1279" s="2">
        <v>8</v>
      </c>
      <c r="B1279" s="1" t="s">
        <v>181</v>
      </c>
      <c r="C1279" s="4">
        <v>1</v>
      </c>
      <c r="D1279" s="8">
        <v>2</v>
      </c>
      <c r="E1279" s="4">
        <v>1</v>
      </c>
      <c r="F1279" s="8">
        <v>2.7</v>
      </c>
      <c r="G1279" s="4">
        <v>0</v>
      </c>
      <c r="H1279" s="8">
        <v>0</v>
      </c>
      <c r="I1279" s="4">
        <v>0</v>
      </c>
    </row>
    <row r="1280" spans="1:9" x14ac:dyDescent="0.2">
      <c r="A1280" s="2">
        <v>8</v>
      </c>
      <c r="B1280" s="1" t="s">
        <v>147</v>
      </c>
      <c r="C1280" s="4">
        <v>1</v>
      </c>
      <c r="D1280" s="8">
        <v>2</v>
      </c>
      <c r="E1280" s="4">
        <v>1</v>
      </c>
      <c r="F1280" s="8">
        <v>2.7</v>
      </c>
      <c r="G1280" s="4">
        <v>0</v>
      </c>
      <c r="H1280" s="8">
        <v>0</v>
      </c>
      <c r="I1280" s="4">
        <v>0</v>
      </c>
    </row>
    <row r="1281" spans="1:9" x14ac:dyDescent="0.2">
      <c r="A1281" s="2">
        <v>8</v>
      </c>
      <c r="B1281" s="1" t="s">
        <v>150</v>
      </c>
      <c r="C1281" s="4">
        <v>1</v>
      </c>
      <c r="D1281" s="8">
        <v>2</v>
      </c>
      <c r="E1281" s="4">
        <v>1</v>
      </c>
      <c r="F1281" s="8">
        <v>2.7</v>
      </c>
      <c r="G1281" s="4">
        <v>0</v>
      </c>
      <c r="H1281" s="8">
        <v>0</v>
      </c>
      <c r="I1281" s="4">
        <v>0</v>
      </c>
    </row>
    <row r="1282" spans="1:9" x14ac:dyDescent="0.2">
      <c r="A1282" s="2">
        <v>8</v>
      </c>
      <c r="B1282" s="1" t="s">
        <v>161</v>
      </c>
      <c r="C1282" s="4">
        <v>1</v>
      </c>
      <c r="D1282" s="8">
        <v>2</v>
      </c>
      <c r="E1282" s="4">
        <v>1</v>
      </c>
      <c r="F1282" s="8">
        <v>2.7</v>
      </c>
      <c r="G1282" s="4">
        <v>0</v>
      </c>
      <c r="H1282" s="8">
        <v>0</v>
      </c>
      <c r="I1282" s="4">
        <v>0</v>
      </c>
    </row>
    <row r="1283" spans="1:9" x14ac:dyDescent="0.2">
      <c r="A1283" s="2">
        <v>8</v>
      </c>
      <c r="B1283" s="1" t="s">
        <v>252</v>
      </c>
      <c r="C1283" s="4">
        <v>1</v>
      </c>
      <c r="D1283" s="8">
        <v>2</v>
      </c>
      <c r="E1283" s="4">
        <v>0</v>
      </c>
      <c r="F1283" s="8">
        <v>0</v>
      </c>
      <c r="G1283" s="4">
        <v>0</v>
      </c>
      <c r="H1283" s="8">
        <v>0</v>
      </c>
      <c r="I1283" s="4">
        <v>0</v>
      </c>
    </row>
    <row r="1284" spans="1:9" x14ac:dyDescent="0.2">
      <c r="A1284" s="2">
        <v>8</v>
      </c>
      <c r="B1284" s="1" t="s">
        <v>153</v>
      </c>
      <c r="C1284" s="4">
        <v>1</v>
      </c>
      <c r="D1284" s="8">
        <v>2</v>
      </c>
      <c r="E1284" s="4">
        <v>1</v>
      </c>
      <c r="F1284" s="8">
        <v>2.7</v>
      </c>
      <c r="G1284" s="4">
        <v>0</v>
      </c>
      <c r="H1284" s="8">
        <v>0</v>
      </c>
      <c r="I1284" s="4">
        <v>0</v>
      </c>
    </row>
    <row r="1285" spans="1:9" x14ac:dyDescent="0.2">
      <c r="A1285" s="1"/>
      <c r="C1285" s="4"/>
      <c r="D1285" s="8"/>
      <c r="E1285" s="4"/>
      <c r="F1285" s="8"/>
      <c r="G1285" s="4"/>
      <c r="H1285" s="8"/>
      <c r="I1285" s="4"/>
    </row>
    <row r="1286" spans="1:9" x14ac:dyDescent="0.2">
      <c r="A1286" s="1" t="s">
        <v>48</v>
      </c>
      <c r="C1286" s="4"/>
      <c r="D1286" s="8"/>
      <c r="E1286" s="4"/>
      <c r="F1286" s="8"/>
      <c r="G1286" s="4"/>
      <c r="H1286" s="8"/>
      <c r="I1286" s="4"/>
    </row>
    <row r="1287" spans="1:9" x14ac:dyDescent="0.2">
      <c r="A1287" s="2">
        <v>1</v>
      </c>
      <c r="B1287" s="1" t="s">
        <v>137</v>
      </c>
      <c r="C1287" s="4">
        <v>6</v>
      </c>
      <c r="D1287" s="8">
        <v>17.14</v>
      </c>
      <c r="E1287" s="4">
        <v>5</v>
      </c>
      <c r="F1287" s="8">
        <v>20.83</v>
      </c>
      <c r="G1287" s="4">
        <v>1</v>
      </c>
      <c r="H1287" s="8">
        <v>9.09</v>
      </c>
      <c r="I1287" s="4">
        <v>0</v>
      </c>
    </row>
    <row r="1288" spans="1:9" x14ac:dyDescent="0.2">
      <c r="A1288" s="2">
        <v>2</v>
      </c>
      <c r="B1288" s="1" t="s">
        <v>220</v>
      </c>
      <c r="C1288" s="4">
        <v>2</v>
      </c>
      <c r="D1288" s="8">
        <v>5.71</v>
      </c>
      <c r="E1288" s="4">
        <v>2</v>
      </c>
      <c r="F1288" s="8">
        <v>8.33</v>
      </c>
      <c r="G1288" s="4">
        <v>0</v>
      </c>
      <c r="H1288" s="8">
        <v>0</v>
      </c>
      <c r="I1288" s="4">
        <v>0</v>
      </c>
    </row>
    <row r="1289" spans="1:9" x14ac:dyDescent="0.2">
      <c r="A1289" s="2">
        <v>2</v>
      </c>
      <c r="B1289" s="1" t="s">
        <v>275</v>
      </c>
      <c r="C1289" s="4">
        <v>2</v>
      </c>
      <c r="D1289" s="8">
        <v>5.71</v>
      </c>
      <c r="E1289" s="4">
        <v>0</v>
      </c>
      <c r="F1289" s="8">
        <v>0</v>
      </c>
      <c r="G1289" s="4">
        <v>2</v>
      </c>
      <c r="H1289" s="8">
        <v>18.18</v>
      </c>
      <c r="I1289" s="4">
        <v>0</v>
      </c>
    </row>
    <row r="1290" spans="1:9" x14ac:dyDescent="0.2">
      <c r="A1290" s="2">
        <v>2</v>
      </c>
      <c r="B1290" s="1" t="s">
        <v>174</v>
      </c>
      <c r="C1290" s="4">
        <v>2</v>
      </c>
      <c r="D1290" s="8">
        <v>5.71</v>
      </c>
      <c r="E1290" s="4">
        <v>2</v>
      </c>
      <c r="F1290" s="8">
        <v>8.33</v>
      </c>
      <c r="G1290" s="4">
        <v>0</v>
      </c>
      <c r="H1290" s="8">
        <v>0</v>
      </c>
      <c r="I1290" s="4">
        <v>0</v>
      </c>
    </row>
    <row r="1291" spans="1:9" x14ac:dyDescent="0.2">
      <c r="A1291" s="2">
        <v>2</v>
      </c>
      <c r="B1291" s="1" t="s">
        <v>168</v>
      </c>
      <c r="C1291" s="4">
        <v>2</v>
      </c>
      <c r="D1291" s="8">
        <v>5.71</v>
      </c>
      <c r="E1291" s="4">
        <v>1</v>
      </c>
      <c r="F1291" s="8">
        <v>4.17</v>
      </c>
      <c r="G1291" s="4">
        <v>1</v>
      </c>
      <c r="H1291" s="8">
        <v>9.09</v>
      </c>
      <c r="I1291" s="4">
        <v>0</v>
      </c>
    </row>
    <row r="1292" spans="1:9" x14ac:dyDescent="0.2">
      <c r="A1292" s="2">
        <v>6</v>
      </c>
      <c r="B1292" s="1" t="s">
        <v>136</v>
      </c>
      <c r="C1292" s="4">
        <v>1</v>
      </c>
      <c r="D1292" s="8">
        <v>2.86</v>
      </c>
      <c r="E1292" s="4">
        <v>1</v>
      </c>
      <c r="F1292" s="8">
        <v>4.17</v>
      </c>
      <c r="G1292" s="4">
        <v>0</v>
      </c>
      <c r="H1292" s="8">
        <v>0</v>
      </c>
      <c r="I1292" s="4">
        <v>0</v>
      </c>
    </row>
    <row r="1293" spans="1:9" x14ac:dyDescent="0.2">
      <c r="A1293" s="2">
        <v>6</v>
      </c>
      <c r="B1293" s="1" t="s">
        <v>184</v>
      </c>
      <c r="C1293" s="4">
        <v>1</v>
      </c>
      <c r="D1293" s="8">
        <v>2.86</v>
      </c>
      <c r="E1293" s="4">
        <v>1</v>
      </c>
      <c r="F1293" s="8">
        <v>4.17</v>
      </c>
      <c r="G1293" s="4">
        <v>0</v>
      </c>
      <c r="H1293" s="8">
        <v>0</v>
      </c>
      <c r="I1293" s="4">
        <v>0</v>
      </c>
    </row>
    <row r="1294" spans="1:9" x14ac:dyDescent="0.2">
      <c r="A1294" s="2">
        <v>6</v>
      </c>
      <c r="B1294" s="1" t="s">
        <v>190</v>
      </c>
      <c r="C1294" s="4">
        <v>1</v>
      </c>
      <c r="D1294" s="8">
        <v>2.86</v>
      </c>
      <c r="E1294" s="4">
        <v>1</v>
      </c>
      <c r="F1294" s="8">
        <v>4.17</v>
      </c>
      <c r="G1294" s="4">
        <v>0</v>
      </c>
      <c r="H1294" s="8">
        <v>0</v>
      </c>
      <c r="I1294" s="4">
        <v>0</v>
      </c>
    </row>
    <row r="1295" spans="1:9" x14ac:dyDescent="0.2">
      <c r="A1295" s="2">
        <v>6</v>
      </c>
      <c r="B1295" s="1" t="s">
        <v>138</v>
      </c>
      <c r="C1295" s="4">
        <v>1</v>
      </c>
      <c r="D1295" s="8">
        <v>2.86</v>
      </c>
      <c r="E1295" s="4">
        <v>1</v>
      </c>
      <c r="F1295" s="8">
        <v>4.17</v>
      </c>
      <c r="G1295" s="4">
        <v>0</v>
      </c>
      <c r="H1295" s="8">
        <v>0</v>
      </c>
      <c r="I1295" s="4">
        <v>0</v>
      </c>
    </row>
    <row r="1296" spans="1:9" x14ac:dyDescent="0.2">
      <c r="A1296" s="2">
        <v>6</v>
      </c>
      <c r="B1296" s="1" t="s">
        <v>223</v>
      </c>
      <c r="C1296" s="4">
        <v>1</v>
      </c>
      <c r="D1296" s="8">
        <v>2.86</v>
      </c>
      <c r="E1296" s="4">
        <v>0</v>
      </c>
      <c r="F1296" s="8">
        <v>0</v>
      </c>
      <c r="G1296" s="4">
        <v>1</v>
      </c>
      <c r="H1296" s="8">
        <v>9.09</v>
      </c>
      <c r="I1296" s="4">
        <v>0</v>
      </c>
    </row>
    <row r="1297" spans="1:9" x14ac:dyDescent="0.2">
      <c r="A1297" s="2">
        <v>6</v>
      </c>
      <c r="B1297" s="1" t="s">
        <v>185</v>
      </c>
      <c r="C1297" s="4">
        <v>1</v>
      </c>
      <c r="D1297" s="8">
        <v>2.86</v>
      </c>
      <c r="E1297" s="4">
        <v>0</v>
      </c>
      <c r="F1297" s="8">
        <v>0</v>
      </c>
      <c r="G1297" s="4">
        <v>1</v>
      </c>
      <c r="H1297" s="8">
        <v>9.09</v>
      </c>
      <c r="I1297" s="4">
        <v>0</v>
      </c>
    </row>
    <row r="1298" spans="1:9" x14ac:dyDescent="0.2">
      <c r="A1298" s="2">
        <v>6</v>
      </c>
      <c r="B1298" s="1" t="s">
        <v>186</v>
      </c>
      <c r="C1298" s="4">
        <v>1</v>
      </c>
      <c r="D1298" s="8">
        <v>2.86</v>
      </c>
      <c r="E1298" s="4">
        <v>0</v>
      </c>
      <c r="F1298" s="8">
        <v>0</v>
      </c>
      <c r="G1298" s="4">
        <v>1</v>
      </c>
      <c r="H1298" s="8">
        <v>9.09</v>
      </c>
      <c r="I1298" s="4">
        <v>0</v>
      </c>
    </row>
    <row r="1299" spans="1:9" x14ac:dyDescent="0.2">
      <c r="A1299" s="2">
        <v>6</v>
      </c>
      <c r="B1299" s="1" t="s">
        <v>274</v>
      </c>
      <c r="C1299" s="4">
        <v>1</v>
      </c>
      <c r="D1299" s="8">
        <v>2.86</v>
      </c>
      <c r="E1299" s="4">
        <v>1</v>
      </c>
      <c r="F1299" s="8">
        <v>4.17</v>
      </c>
      <c r="G1299" s="4">
        <v>0</v>
      </c>
      <c r="H1299" s="8">
        <v>0</v>
      </c>
      <c r="I1299" s="4">
        <v>0</v>
      </c>
    </row>
    <row r="1300" spans="1:9" x14ac:dyDescent="0.2">
      <c r="A1300" s="2">
        <v>6</v>
      </c>
      <c r="B1300" s="1" t="s">
        <v>276</v>
      </c>
      <c r="C1300" s="4">
        <v>1</v>
      </c>
      <c r="D1300" s="8">
        <v>2.86</v>
      </c>
      <c r="E1300" s="4">
        <v>0</v>
      </c>
      <c r="F1300" s="8">
        <v>0</v>
      </c>
      <c r="G1300" s="4">
        <v>1</v>
      </c>
      <c r="H1300" s="8">
        <v>9.09</v>
      </c>
      <c r="I1300" s="4">
        <v>0</v>
      </c>
    </row>
    <row r="1301" spans="1:9" x14ac:dyDescent="0.2">
      <c r="A1301" s="2">
        <v>6</v>
      </c>
      <c r="B1301" s="1" t="s">
        <v>200</v>
      </c>
      <c r="C1301" s="4">
        <v>1</v>
      </c>
      <c r="D1301" s="8">
        <v>2.86</v>
      </c>
      <c r="E1301" s="4">
        <v>1</v>
      </c>
      <c r="F1301" s="8">
        <v>4.17</v>
      </c>
      <c r="G1301" s="4">
        <v>0</v>
      </c>
      <c r="H1301" s="8">
        <v>0</v>
      </c>
      <c r="I1301" s="4">
        <v>0</v>
      </c>
    </row>
    <row r="1302" spans="1:9" x14ac:dyDescent="0.2">
      <c r="A1302" s="2">
        <v>6</v>
      </c>
      <c r="B1302" s="1" t="s">
        <v>140</v>
      </c>
      <c r="C1302" s="4">
        <v>1</v>
      </c>
      <c r="D1302" s="8">
        <v>2.86</v>
      </c>
      <c r="E1302" s="4">
        <v>1</v>
      </c>
      <c r="F1302" s="8">
        <v>4.17</v>
      </c>
      <c r="G1302" s="4">
        <v>0</v>
      </c>
      <c r="H1302" s="8">
        <v>0</v>
      </c>
      <c r="I1302" s="4">
        <v>0</v>
      </c>
    </row>
    <row r="1303" spans="1:9" x14ac:dyDescent="0.2">
      <c r="A1303" s="2">
        <v>6</v>
      </c>
      <c r="B1303" s="1" t="s">
        <v>143</v>
      </c>
      <c r="C1303" s="4">
        <v>1</v>
      </c>
      <c r="D1303" s="8">
        <v>2.86</v>
      </c>
      <c r="E1303" s="4">
        <v>1</v>
      </c>
      <c r="F1303" s="8">
        <v>4.17</v>
      </c>
      <c r="G1303" s="4">
        <v>0</v>
      </c>
      <c r="H1303" s="8">
        <v>0</v>
      </c>
      <c r="I1303" s="4">
        <v>0</v>
      </c>
    </row>
    <row r="1304" spans="1:9" x14ac:dyDescent="0.2">
      <c r="A1304" s="2">
        <v>6</v>
      </c>
      <c r="B1304" s="1" t="s">
        <v>145</v>
      </c>
      <c r="C1304" s="4">
        <v>1</v>
      </c>
      <c r="D1304" s="8">
        <v>2.86</v>
      </c>
      <c r="E1304" s="4">
        <v>1</v>
      </c>
      <c r="F1304" s="8">
        <v>4.17</v>
      </c>
      <c r="G1304" s="4">
        <v>0</v>
      </c>
      <c r="H1304" s="8">
        <v>0</v>
      </c>
      <c r="I1304" s="4">
        <v>0</v>
      </c>
    </row>
    <row r="1305" spans="1:9" x14ac:dyDescent="0.2">
      <c r="A1305" s="2">
        <v>6</v>
      </c>
      <c r="B1305" s="1" t="s">
        <v>146</v>
      </c>
      <c r="C1305" s="4">
        <v>1</v>
      </c>
      <c r="D1305" s="8">
        <v>2.86</v>
      </c>
      <c r="E1305" s="4">
        <v>0</v>
      </c>
      <c r="F1305" s="8">
        <v>0</v>
      </c>
      <c r="G1305" s="4">
        <v>1</v>
      </c>
      <c r="H1305" s="8">
        <v>9.09</v>
      </c>
      <c r="I1305" s="4">
        <v>0</v>
      </c>
    </row>
    <row r="1306" spans="1:9" x14ac:dyDescent="0.2">
      <c r="A1306" s="2">
        <v>6</v>
      </c>
      <c r="B1306" s="1" t="s">
        <v>150</v>
      </c>
      <c r="C1306" s="4">
        <v>1</v>
      </c>
      <c r="D1306" s="8">
        <v>2.86</v>
      </c>
      <c r="E1306" s="4">
        <v>1</v>
      </c>
      <c r="F1306" s="8">
        <v>4.17</v>
      </c>
      <c r="G1306" s="4">
        <v>0</v>
      </c>
      <c r="H1306" s="8">
        <v>0</v>
      </c>
      <c r="I1306" s="4">
        <v>0</v>
      </c>
    </row>
    <row r="1307" spans="1:9" x14ac:dyDescent="0.2">
      <c r="A1307" s="2">
        <v>6</v>
      </c>
      <c r="B1307" s="1" t="s">
        <v>151</v>
      </c>
      <c r="C1307" s="4">
        <v>1</v>
      </c>
      <c r="D1307" s="8">
        <v>2.86</v>
      </c>
      <c r="E1307" s="4">
        <v>1</v>
      </c>
      <c r="F1307" s="8">
        <v>4.17</v>
      </c>
      <c r="G1307" s="4">
        <v>0</v>
      </c>
      <c r="H1307" s="8">
        <v>0</v>
      </c>
      <c r="I1307" s="4">
        <v>0</v>
      </c>
    </row>
    <row r="1308" spans="1:9" x14ac:dyDescent="0.2">
      <c r="A1308" s="2">
        <v>6</v>
      </c>
      <c r="B1308" s="1" t="s">
        <v>277</v>
      </c>
      <c r="C1308" s="4">
        <v>1</v>
      </c>
      <c r="D1308" s="8">
        <v>2.86</v>
      </c>
      <c r="E1308" s="4">
        <v>0</v>
      </c>
      <c r="F1308" s="8">
        <v>0</v>
      </c>
      <c r="G1308" s="4">
        <v>1</v>
      </c>
      <c r="H1308" s="8">
        <v>9.09</v>
      </c>
      <c r="I1308" s="4">
        <v>0</v>
      </c>
    </row>
    <row r="1309" spans="1:9" x14ac:dyDescent="0.2">
      <c r="A1309" s="2">
        <v>6</v>
      </c>
      <c r="B1309" s="1" t="s">
        <v>252</v>
      </c>
      <c r="C1309" s="4">
        <v>1</v>
      </c>
      <c r="D1309" s="8">
        <v>2.86</v>
      </c>
      <c r="E1309" s="4">
        <v>0</v>
      </c>
      <c r="F1309" s="8">
        <v>0</v>
      </c>
      <c r="G1309" s="4">
        <v>1</v>
      </c>
      <c r="H1309" s="8">
        <v>9.09</v>
      </c>
      <c r="I1309" s="4">
        <v>0</v>
      </c>
    </row>
    <row r="1310" spans="1:9" x14ac:dyDescent="0.2">
      <c r="A1310" s="2">
        <v>6</v>
      </c>
      <c r="B1310" s="1" t="s">
        <v>152</v>
      </c>
      <c r="C1310" s="4">
        <v>1</v>
      </c>
      <c r="D1310" s="8">
        <v>2.86</v>
      </c>
      <c r="E1310" s="4">
        <v>1</v>
      </c>
      <c r="F1310" s="8">
        <v>4.17</v>
      </c>
      <c r="G1310" s="4">
        <v>0</v>
      </c>
      <c r="H1310" s="8">
        <v>0</v>
      </c>
      <c r="I1310" s="4">
        <v>0</v>
      </c>
    </row>
    <row r="1311" spans="1:9" x14ac:dyDescent="0.2">
      <c r="A1311" s="2">
        <v>6</v>
      </c>
      <c r="B1311" s="1" t="s">
        <v>253</v>
      </c>
      <c r="C1311" s="4">
        <v>1</v>
      </c>
      <c r="D1311" s="8">
        <v>2.86</v>
      </c>
      <c r="E1311" s="4">
        <v>1</v>
      </c>
      <c r="F1311" s="8">
        <v>4.17</v>
      </c>
      <c r="G1311" s="4">
        <v>0</v>
      </c>
      <c r="H1311" s="8">
        <v>0</v>
      </c>
      <c r="I1311" s="4">
        <v>0</v>
      </c>
    </row>
    <row r="1312" spans="1:9" x14ac:dyDescent="0.2">
      <c r="A1312" s="2">
        <v>6</v>
      </c>
      <c r="B1312" s="1" t="s">
        <v>154</v>
      </c>
      <c r="C1312" s="4">
        <v>1</v>
      </c>
      <c r="D1312" s="8">
        <v>2.86</v>
      </c>
      <c r="E1312" s="4">
        <v>1</v>
      </c>
      <c r="F1312" s="8">
        <v>4.17</v>
      </c>
      <c r="G1312" s="4">
        <v>0</v>
      </c>
      <c r="H1312" s="8">
        <v>0</v>
      </c>
      <c r="I1312" s="4">
        <v>0</v>
      </c>
    </row>
    <row r="1313" spans="1:9" x14ac:dyDescent="0.2">
      <c r="A1313" s="1"/>
      <c r="C1313" s="4"/>
      <c r="D1313" s="8"/>
      <c r="E1313" s="4"/>
      <c r="F1313" s="8"/>
      <c r="G1313" s="4"/>
      <c r="H1313" s="8"/>
      <c r="I1313" s="4"/>
    </row>
    <row r="1314" spans="1:9" x14ac:dyDescent="0.2">
      <c r="A1314" s="1" t="s">
        <v>49</v>
      </c>
      <c r="C1314" s="4"/>
      <c r="D1314" s="8"/>
      <c r="E1314" s="4"/>
      <c r="F1314" s="8"/>
      <c r="G1314" s="4"/>
      <c r="H1314" s="8"/>
      <c r="I1314" s="4"/>
    </row>
    <row r="1315" spans="1:9" x14ac:dyDescent="0.2">
      <c r="A1315" s="2">
        <v>1</v>
      </c>
      <c r="B1315" s="1" t="s">
        <v>151</v>
      </c>
      <c r="C1315" s="4">
        <v>26</v>
      </c>
      <c r="D1315" s="8">
        <v>7.14</v>
      </c>
      <c r="E1315" s="4">
        <v>26</v>
      </c>
      <c r="F1315" s="8">
        <v>11.45</v>
      </c>
      <c r="G1315" s="4">
        <v>0</v>
      </c>
      <c r="H1315" s="8">
        <v>0</v>
      </c>
      <c r="I1315" s="4">
        <v>0</v>
      </c>
    </row>
    <row r="1316" spans="1:9" x14ac:dyDescent="0.2">
      <c r="A1316" s="2">
        <v>2</v>
      </c>
      <c r="B1316" s="1" t="s">
        <v>150</v>
      </c>
      <c r="C1316" s="4">
        <v>20</v>
      </c>
      <c r="D1316" s="8">
        <v>5.49</v>
      </c>
      <c r="E1316" s="4">
        <v>20</v>
      </c>
      <c r="F1316" s="8">
        <v>8.81</v>
      </c>
      <c r="G1316" s="4">
        <v>0</v>
      </c>
      <c r="H1316" s="8">
        <v>0</v>
      </c>
      <c r="I1316" s="4">
        <v>0</v>
      </c>
    </row>
    <row r="1317" spans="1:9" x14ac:dyDescent="0.2">
      <c r="A1317" s="2">
        <v>3</v>
      </c>
      <c r="B1317" s="1" t="s">
        <v>149</v>
      </c>
      <c r="C1317" s="4">
        <v>15</v>
      </c>
      <c r="D1317" s="8">
        <v>4.12</v>
      </c>
      <c r="E1317" s="4">
        <v>14</v>
      </c>
      <c r="F1317" s="8">
        <v>6.17</v>
      </c>
      <c r="G1317" s="4">
        <v>1</v>
      </c>
      <c r="H1317" s="8">
        <v>0.76</v>
      </c>
      <c r="I1317" s="4">
        <v>0</v>
      </c>
    </row>
    <row r="1318" spans="1:9" x14ac:dyDescent="0.2">
      <c r="A1318" s="2">
        <v>4</v>
      </c>
      <c r="B1318" s="1" t="s">
        <v>141</v>
      </c>
      <c r="C1318" s="4">
        <v>12</v>
      </c>
      <c r="D1318" s="8">
        <v>3.3</v>
      </c>
      <c r="E1318" s="4">
        <v>6</v>
      </c>
      <c r="F1318" s="8">
        <v>2.64</v>
      </c>
      <c r="G1318" s="4">
        <v>6</v>
      </c>
      <c r="H1318" s="8">
        <v>4.55</v>
      </c>
      <c r="I1318" s="4">
        <v>0</v>
      </c>
    </row>
    <row r="1319" spans="1:9" x14ac:dyDescent="0.2">
      <c r="A1319" s="2">
        <v>4</v>
      </c>
      <c r="B1319" s="1" t="s">
        <v>148</v>
      </c>
      <c r="C1319" s="4">
        <v>12</v>
      </c>
      <c r="D1319" s="8">
        <v>3.3</v>
      </c>
      <c r="E1319" s="4">
        <v>11</v>
      </c>
      <c r="F1319" s="8">
        <v>4.8499999999999996</v>
      </c>
      <c r="G1319" s="4">
        <v>1</v>
      </c>
      <c r="H1319" s="8">
        <v>0.76</v>
      </c>
      <c r="I1319" s="4">
        <v>0</v>
      </c>
    </row>
    <row r="1320" spans="1:9" x14ac:dyDescent="0.2">
      <c r="A1320" s="2">
        <v>6</v>
      </c>
      <c r="B1320" s="1" t="s">
        <v>153</v>
      </c>
      <c r="C1320" s="4">
        <v>11</v>
      </c>
      <c r="D1320" s="8">
        <v>3.02</v>
      </c>
      <c r="E1320" s="4">
        <v>8</v>
      </c>
      <c r="F1320" s="8">
        <v>3.52</v>
      </c>
      <c r="G1320" s="4">
        <v>3</v>
      </c>
      <c r="H1320" s="8">
        <v>2.27</v>
      </c>
      <c r="I1320" s="4">
        <v>0</v>
      </c>
    </row>
    <row r="1321" spans="1:9" x14ac:dyDescent="0.2">
      <c r="A1321" s="2">
        <v>7</v>
      </c>
      <c r="B1321" s="1" t="s">
        <v>135</v>
      </c>
      <c r="C1321" s="4">
        <v>10</v>
      </c>
      <c r="D1321" s="8">
        <v>2.75</v>
      </c>
      <c r="E1321" s="4">
        <v>5</v>
      </c>
      <c r="F1321" s="8">
        <v>2.2000000000000002</v>
      </c>
      <c r="G1321" s="4">
        <v>5</v>
      </c>
      <c r="H1321" s="8">
        <v>3.79</v>
      </c>
      <c r="I1321" s="4">
        <v>0</v>
      </c>
    </row>
    <row r="1322" spans="1:9" x14ac:dyDescent="0.2">
      <c r="A1322" s="2">
        <v>8</v>
      </c>
      <c r="B1322" s="1" t="s">
        <v>140</v>
      </c>
      <c r="C1322" s="4">
        <v>9</v>
      </c>
      <c r="D1322" s="8">
        <v>2.4700000000000002</v>
      </c>
      <c r="E1322" s="4">
        <v>5</v>
      </c>
      <c r="F1322" s="8">
        <v>2.2000000000000002</v>
      </c>
      <c r="G1322" s="4">
        <v>4</v>
      </c>
      <c r="H1322" s="8">
        <v>3.03</v>
      </c>
      <c r="I1322" s="4">
        <v>0</v>
      </c>
    </row>
    <row r="1323" spans="1:9" x14ac:dyDescent="0.2">
      <c r="A1323" s="2">
        <v>8</v>
      </c>
      <c r="B1323" s="1" t="s">
        <v>147</v>
      </c>
      <c r="C1323" s="4">
        <v>9</v>
      </c>
      <c r="D1323" s="8">
        <v>2.4700000000000002</v>
      </c>
      <c r="E1323" s="4">
        <v>7</v>
      </c>
      <c r="F1323" s="8">
        <v>3.08</v>
      </c>
      <c r="G1323" s="4">
        <v>2</v>
      </c>
      <c r="H1323" s="8">
        <v>1.52</v>
      </c>
      <c r="I1323" s="4">
        <v>0</v>
      </c>
    </row>
    <row r="1324" spans="1:9" x14ac:dyDescent="0.2">
      <c r="A1324" s="2">
        <v>10</v>
      </c>
      <c r="B1324" s="1" t="s">
        <v>186</v>
      </c>
      <c r="C1324" s="4">
        <v>8</v>
      </c>
      <c r="D1324" s="8">
        <v>2.2000000000000002</v>
      </c>
      <c r="E1324" s="4">
        <v>0</v>
      </c>
      <c r="F1324" s="8">
        <v>0</v>
      </c>
      <c r="G1324" s="4">
        <v>8</v>
      </c>
      <c r="H1324" s="8">
        <v>6.06</v>
      </c>
      <c r="I1324" s="4">
        <v>0</v>
      </c>
    </row>
    <row r="1325" spans="1:9" x14ac:dyDescent="0.2">
      <c r="A1325" s="2">
        <v>10</v>
      </c>
      <c r="B1325" s="1" t="s">
        <v>154</v>
      </c>
      <c r="C1325" s="4">
        <v>8</v>
      </c>
      <c r="D1325" s="8">
        <v>2.2000000000000002</v>
      </c>
      <c r="E1325" s="4">
        <v>7</v>
      </c>
      <c r="F1325" s="8">
        <v>3.08</v>
      </c>
      <c r="G1325" s="4">
        <v>1</v>
      </c>
      <c r="H1325" s="8">
        <v>0.76</v>
      </c>
      <c r="I1325" s="4">
        <v>0</v>
      </c>
    </row>
    <row r="1326" spans="1:9" x14ac:dyDescent="0.2">
      <c r="A1326" s="2">
        <v>12</v>
      </c>
      <c r="B1326" s="1" t="s">
        <v>137</v>
      </c>
      <c r="C1326" s="4">
        <v>7</v>
      </c>
      <c r="D1326" s="8">
        <v>1.92</v>
      </c>
      <c r="E1326" s="4">
        <v>5</v>
      </c>
      <c r="F1326" s="8">
        <v>2.2000000000000002</v>
      </c>
      <c r="G1326" s="4">
        <v>2</v>
      </c>
      <c r="H1326" s="8">
        <v>1.52</v>
      </c>
      <c r="I1326" s="4">
        <v>0</v>
      </c>
    </row>
    <row r="1327" spans="1:9" x14ac:dyDescent="0.2">
      <c r="A1327" s="2">
        <v>12</v>
      </c>
      <c r="B1327" s="1" t="s">
        <v>138</v>
      </c>
      <c r="C1327" s="4">
        <v>7</v>
      </c>
      <c r="D1327" s="8">
        <v>1.92</v>
      </c>
      <c r="E1327" s="4">
        <v>4</v>
      </c>
      <c r="F1327" s="8">
        <v>1.76</v>
      </c>
      <c r="G1327" s="4">
        <v>3</v>
      </c>
      <c r="H1327" s="8">
        <v>2.27</v>
      </c>
      <c r="I1327" s="4">
        <v>0</v>
      </c>
    </row>
    <row r="1328" spans="1:9" x14ac:dyDescent="0.2">
      <c r="A1328" s="2">
        <v>12</v>
      </c>
      <c r="B1328" s="1" t="s">
        <v>142</v>
      </c>
      <c r="C1328" s="4">
        <v>7</v>
      </c>
      <c r="D1328" s="8">
        <v>1.92</v>
      </c>
      <c r="E1328" s="4">
        <v>3</v>
      </c>
      <c r="F1328" s="8">
        <v>1.32</v>
      </c>
      <c r="G1328" s="4">
        <v>4</v>
      </c>
      <c r="H1328" s="8">
        <v>3.03</v>
      </c>
      <c r="I1328" s="4">
        <v>0</v>
      </c>
    </row>
    <row r="1329" spans="1:9" x14ac:dyDescent="0.2">
      <c r="A1329" s="2">
        <v>12</v>
      </c>
      <c r="B1329" s="1" t="s">
        <v>168</v>
      </c>
      <c r="C1329" s="4">
        <v>7</v>
      </c>
      <c r="D1329" s="8">
        <v>1.92</v>
      </c>
      <c r="E1329" s="4">
        <v>1</v>
      </c>
      <c r="F1329" s="8">
        <v>0.44</v>
      </c>
      <c r="G1329" s="4">
        <v>6</v>
      </c>
      <c r="H1329" s="8">
        <v>4.55</v>
      </c>
      <c r="I1329" s="4">
        <v>0</v>
      </c>
    </row>
    <row r="1330" spans="1:9" x14ac:dyDescent="0.2">
      <c r="A1330" s="2">
        <v>12</v>
      </c>
      <c r="B1330" s="1" t="s">
        <v>143</v>
      </c>
      <c r="C1330" s="4">
        <v>7</v>
      </c>
      <c r="D1330" s="8">
        <v>1.92</v>
      </c>
      <c r="E1330" s="4">
        <v>5</v>
      </c>
      <c r="F1330" s="8">
        <v>2.2000000000000002</v>
      </c>
      <c r="G1330" s="4">
        <v>2</v>
      </c>
      <c r="H1330" s="8">
        <v>1.52</v>
      </c>
      <c r="I1330" s="4">
        <v>0</v>
      </c>
    </row>
    <row r="1331" spans="1:9" x14ac:dyDescent="0.2">
      <c r="A1331" s="2">
        <v>17</v>
      </c>
      <c r="B1331" s="1" t="s">
        <v>189</v>
      </c>
      <c r="C1331" s="4">
        <v>5</v>
      </c>
      <c r="D1331" s="8">
        <v>1.37</v>
      </c>
      <c r="E1331" s="4">
        <v>3</v>
      </c>
      <c r="F1331" s="8">
        <v>1.32</v>
      </c>
      <c r="G1331" s="4">
        <v>2</v>
      </c>
      <c r="H1331" s="8">
        <v>1.52</v>
      </c>
      <c r="I1331" s="4">
        <v>0</v>
      </c>
    </row>
    <row r="1332" spans="1:9" x14ac:dyDescent="0.2">
      <c r="A1332" s="2">
        <v>17</v>
      </c>
      <c r="B1332" s="1" t="s">
        <v>203</v>
      </c>
      <c r="C1332" s="4">
        <v>5</v>
      </c>
      <c r="D1332" s="8">
        <v>1.37</v>
      </c>
      <c r="E1332" s="4">
        <v>3</v>
      </c>
      <c r="F1332" s="8">
        <v>1.32</v>
      </c>
      <c r="G1332" s="4">
        <v>2</v>
      </c>
      <c r="H1332" s="8">
        <v>1.52</v>
      </c>
      <c r="I1332" s="4">
        <v>0</v>
      </c>
    </row>
    <row r="1333" spans="1:9" x14ac:dyDescent="0.2">
      <c r="A1333" s="2">
        <v>17</v>
      </c>
      <c r="B1333" s="1" t="s">
        <v>234</v>
      </c>
      <c r="C1333" s="4">
        <v>5</v>
      </c>
      <c r="D1333" s="8">
        <v>1.37</v>
      </c>
      <c r="E1333" s="4">
        <v>2</v>
      </c>
      <c r="F1333" s="8">
        <v>0.88</v>
      </c>
      <c r="G1333" s="4">
        <v>3</v>
      </c>
      <c r="H1333" s="8">
        <v>2.27</v>
      </c>
      <c r="I1333" s="4">
        <v>0</v>
      </c>
    </row>
    <row r="1334" spans="1:9" x14ac:dyDescent="0.2">
      <c r="A1334" s="2">
        <v>17</v>
      </c>
      <c r="B1334" s="1" t="s">
        <v>146</v>
      </c>
      <c r="C1334" s="4">
        <v>5</v>
      </c>
      <c r="D1334" s="8">
        <v>1.37</v>
      </c>
      <c r="E1334" s="4">
        <v>1</v>
      </c>
      <c r="F1334" s="8">
        <v>0.44</v>
      </c>
      <c r="G1334" s="4">
        <v>4</v>
      </c>
      <c r="H1334" s="8">
        <v>3.03</v>
      </c>
      <c r="I1334" s="4">
        <v>0</v>
      </c>
    </row>
    <row r="1335" spans="1:9" x14ac:dyDescent="0.2">
      <c r="A1335" s="2">
        <v>17</v>
      </c>
      <c r="B1335" s="1" t="s">
        <v>160</v>
      </c>
      <c r="C1335" s="4">
        <v>5</v>
      </c>
      <c r="D1335" s="8">
        <v>1.37</v>
      </c>
      <c r="E1335" s="4">
        <v>5</v>
      </c>
      <c r="F1335" s="8">
        <v>2.2000000000000002</v>
      </c>
      <c r="G1335" s="4">
        <v>0</v>
      </c>
      <c r="H1335" s="8">
        <v>0</v>
      </c>
      <c r="I1335" s="4">
        <v>0</v>
      </c>
    </row>
    <row r="1336" spans="1:9" x14ac:dyDescent="0.2">
      <c r="A1336" s="1"/>
      <c r="C1336" s="4"/>
      <c r="D1336" s="8"/>
      <c r="E1336" s="4"/>
      <c r="F1336" s="8"/>
      <c r="G1336" s="4"/>
      <c r="H1336" s="8"/>
      <c r="I1336" s="4"/>
    </row>
    <row r="1337" spans="1:9" x14ac:dyDescent="0.2">
      <c r="A1337" s="1" t="s">
        <v>50</v>
      </c>
      <c r="C1337" s="4"/>
      <c r="D1337" s="8"/>
      <c r="E1337" s="4"/>
      <c r="F1337" s="8"/>
      <c r="G1337" s="4"/>
      <c r="H1337" s="8"/>
      <c r="I1337" s="4"/>
    </row>
    <row r="1338" spans="1:9" x14ac:dyDescent="0.2">
      <c r="A1338" s="2">
        <v>1</v>
      </c>
      <c r="B1338" s="1" t="s">
        <v>151</v>
      </c>
      <c r="C1338" s="4">
        <v>14</v>
      </c>
      <c r="D1338" s="8">
        <v>7</v>
      </c>
      <c r="E1338" s="4">
        <v>14</v>
      </c>
      <c r="F1338" s="8">
        <v>11.57</v>
      </c>
      <c r="G1338" s="4">
        <v>0</v>
      </c>
      <c r="H1338" s="8">
        <v>0</v>
      </c>
      <c r="I1338" s="4">
        <v>0</v>
      </c>
    </row>
    <row r="1339" spans="1:9" x14ac:dyDescent="0.2">
      <c r="A1339" s="2">
        <v>2</v>
      </c>
      <c r="B1339" s="1" t="s">
        <v>135</v>
      </c>
      <c r="C1339" s="4">
        <v>10</v>
      </c>
      <c r="D1339" s="8">
        <v>5</v>
      </c>
      <c r="E1339" s="4">
        <v>1</v>
      </c>
      <c r="F1339" s="8">
        <v>0.83</v>
      </c>
      <c r="G1339" s="4">
        <v>9</v>
      </c>
      <c r="H1339" s="8">
        <v>12.68</v>
      </c>
      <c r="I1339" s="4">
        <v>0</v>
      </c>
    </row>
    <row r="1340" spans="1:9" x14ac:dyDescent="0.2">
      <c r="A1340" s="2">
        <v>3</v>
      </c>
      <c r="B1340" s="1" t="s">
        <v>150</v>
      </c>
      <c r="C1340" s="4">
        <v>9</v>
      </c>
      <c r="D1340" s="8">
        <v>4.5</v>
      </c>
      <c r="E1340" s="4">
        <v>9</v>
      </c>
      <c r="F1340" s="8">
        <v>7.44</v>
      </c>
      <c r="G1340" s="4">
        <v>0</v>
      </c>
      <c r="H1340" s="8">
        <v>0</v>
      </c>
      <c r="I1340" s="4">
        <v>0</v>
      </c>
    </row>
    <row r="1341" spans="1:9" x14ac:dyDescent="0.2">
      <c r="A1341" s="2">
        <v>4</v>
      </c>
      <c r="B1341" s="1" t="s">
        <v>141</v>
      </c>
      <c r="C1341" s="4">
        <v>8</v>
      </c>
      <c r="D1341" s="8">
        <v>4</v>
      </c>
      <c r="E1341" s="4">
        <v>5</v>
      </c>
      <c r="F1341" s="8">
        <v>4.13</v>
      </c>
      <c r="G1341" s="4">
        <v>3</v>
      </c>
      <c r="H1341" s="8">
        <v>4.2300000000000004</v>
      </c>
      <c r="I1341" s="4">
        <v>0</v>
      </c>
    </row>
    <row r="1342" spans="1:9" x14ac:dyDescent="0.2">
      <c r="A1342" s="2">
        <v>5</v>
      </c>
      <c r="B1342" s="1" t="s">
        <v>140</v>
      </c>
      <c r="C1342" s="4">
        <v>7</v>
      </c>
      <c r="D1342" s="8">
        <v>3.5</v>
      </c>
      <c r="E1342" s="4">
        <v>4</v>
      </c>
      <c r="F1342" s="8">
        <v>3.31</v>
      </c>
      <c r="G1342" s="4">
        <v>3</v>
      </c>
      <c r="H1342" s="8">
        <v>4.2300000000000004</v>
      </c>
      <c r="I1342" s="4">
        <v>0</v>
      </c>
    </row>
    <row r="1343" spans="1:9" x14ac:dyDescent="0.2">
      <c r="A1343" s="2">
        <v>6</v>
      </c>
      <c r="B1343" s="1" t="s">
        <v>202</v>
      </c>
      <c r="C1343" s="4">
        <v>6</v>
      </c>
      <c r="D1343" s="8">
        <v>3</v>
      </c>
      <c r="E1343" s="4">
        <v>6</v>
      </c>
      <c r="F1343" s="8">
        <v>4.96</v>
      </c>
      <c r="G1343" s="4">
        <v>0</v>
      </c>
      <c r="H1343" s="8">
        <v>0</v>
      </c>
      <c r="I1343" s="4">
        <v>0</v>
      </c>
    </row>
    <row r="1344" spans="1:9" x14ac:dyDescent="0.2">
      <c r="A1344" s="2">
        <v>6</v>
      </c>
      <c r="B1344" s="1" t="s">
        <v>252</v>
      </c>
      <c r="C1344" s="4">
        <v>6</v>
      </c>
      <c r="D1344" s="8">
        <v>3</v>
      </c>
      <c r="E1344" s="4">
        <v>0</v>
      </c>
      <c r="F1344" s="8">
        <v>0</v>
      </c>
      <c r="G1344" s="4">
        <v>1</v>
      </c>
      <c r="H1344" s="8">
        <v>1.41</v>
      </c>
      <c r="I1344" s="4">
        <v>0</v>
      </c>
    </row>
    <row r="1345" spans="1:9" x14ac:dyDescent="0.2">
      <c r="A1345" s="2">
        <v>8</v>
      </c>
      <c r="B1345" s="1" t="s">
        <v>138</v>
      </c>
      <c r="C1345" s="4">
        <v>5</v>
      </c>
      <c r="D1345" s="8">
        <v>2.5</v>
      </c>
      <c r="E1345" s="4">
        <v>2</v>
      </c>
      <c r="F1345" s="8">
        <v>1.65</v>
      </c>
      <c r="G1345" s="4">
        <v>3</v>
      </c>
      <c r="H1345" s="8">
        <v>4.2300000000000004</v>
      </c>
      <c r="I1345" s="4">
        <v>0</v>
      </c>
    </row>
    <row r="1346" spans="1:9" x14ac:dyDescent="0.2">
      <c r="A1346" s="2">
        <v>8</v>
      </c>
      <c r="B1346" s="1" t="s">
        <v>166</v>
      </c>
      <c r="C1346" s="4">
        <v>5</v>
      </c>
      <c r="D1346" s="8">
        <v>2.5</v>
      </c>
      <c r="E1346" s="4">
        <v>4</v>
      </c>
      <c r="F1346" s="8">
        <v>3.31</v>
      </c>
      <c r="G1346" s="4">
        <v>0</v>
      </c>
      <c r="H1346" s="8">
        <v>0</v>
      </c>
      <c r="I1346" s="4">
        <v>1</v>
      </c>
    </row>
    <row r="1347" spans="1:9" x14ac:dyDescent="0.2">
      <c r="A1347" s="2">
        <v>8</v>
      </c>
      <c r="B1347" s="1" t="s">
        <v>148</v>
      </c>
      <c r="C1347" s="4">
        <v>5</v>
      </c>
      <c r="D1347" s="8">
        <v>2.5</v>
      </c>
      <c r="E1347" s="4">
        <v>5</v>
      </c>
      <c r="F1347" s="8">
        <v>4.13</v>
      </c>
      <c r="G1347" s="4">
        <v>0</v>
      </c>
      <c r="H1347" s="8">
        <v>0</v>
      </c>
      <c r="I1347" s="4">
        <v>0</v>
      </c>
    </row>
    <row r="1348" spans="1:9" x14ac:dyDescent="0.2">
      <c r="A1348" s="2">
        <v>8</v>
      </c>
      <c r="B1348" s="1" t="s">
        <v>154</v>
      </c>
      <c r="C1348" s="4">
        <v>5</v>
      </c>
      <c r="D1348" s="8">
        <v>2.5</v>
      </c>
      <c r="E1348" s="4">
        <v>3</v>
      </c>
      <c r="F1348" s="8">
        <v>2.48</v>
      </c>
      <c r="G1348" s="4">
        <v>2</v>
      </c>
      <c r="H1348" s="8">
        <v>2.82</v>
      </c>
      <c r="I1348" s="4">
        <v>0</v>
      </c>
    </row>
    <row r="1349" spans="1:9" x14ac:dyDescent="0.2">
      <c r="A1349" s="2">
        <v>12</v>
      </c>
      <c r="B1349" s="1" t="s">
        <v>184</v>
      </c>
      <c r="C1349" s="4">
        <v>4</v>
      </c>
      <c r="D1349" s="8">
        <v>2</v>
      </c>
      <c r="E1349" s="4">
        <v>3</v>
      </c>
      <c r="F1349" s="8">
        <v>2.48</v>
      </c>
      <c r="G1349" s="4">
        <v>1</v>
      </c>
      <c r="H1349" s="8">
        <v>1.41</v>
      </c>
      <c r="I1349" s="4">
        <v>0</v>
      </c>
    </row>
    <row r="1350" spans="1:9" x14ac:dyDescent="0.2">
      <c r="A1350" s="2">
        <v>12</v>
      </c>
      <c r="B1350" s="1" t="s">
        <v>174</v>
      </c>
      <c r="C1350" s="4">
        <v>4</v>
      </c>
      <c r="D1350" s="8">
        <v>2</v>
      </c>
      <c r="E1350" s="4">
        <v>4</v>
      </c>
      <c r="F1350" s="8">
        <v>3.31</v>
      </c>
      <c r="G1350" s="4">
        <v>0</v>
      </c>
      <c r="H1350" s="8">
        <v>0</v>
      </c>
      <c r="I1350" s="4">
        <v>0</v>
      </c>
    </row>
    <row r="1351" spans="1:9" x14ac:dyDescent="0.2">
      <c r="A1351" s="2">
        <v>12</v>
      </c>
      <c r="B1351" s="1" t="s">
        <v>168</v>
      </c>
      <c r="C1351" s="4">
        <v>4</v>
      </c>
      <c r="D1351" s="8">
        <v>2</v>
      </c>
      <c r="E1351" s="4">
        <v>0</v>
      </c>
      <c r="F1351" s="8">
        <v>0</v>
      </c>
      <c r="G1351" s="4">
        <v>4</v>
      </c>
      <c r="H1351" s="8">
        <v>5.63</v>
      </c>
      <c r="I1351" s="4">
        <v>0</v>
      </c>
    </row>
    <row r="1352" spans="1:9" x14ac:dyDescent="0.2">
      <c r="A1352" s="2">
        <v>12</v>
      </c>
      <c r="B1352" s="1" t="s">
        <v>143</v>
      </c>
      <c r="C1352" s="4">
        <v>4</v>
      </c>
      <c r="D1352" s="8">
        <v>2</v>
      </c>
      <c r="E1352" s="4">
        <v>2</v>
      </c>
      <c r="F1352" s="8">
        <v>1.65</v>
      </c>
      <c r="G1352" s="4">
        <v>2</v>
      </c>
      <c r="H1352" s="8">
        <v>2.82</v>
      </c>
      <c r="I1352" s="4">
        <v>0</v>
      </c>
    </row>
    <row r="1353" spans="1:9" x14ac:dyDescent="0.2">
      <c r="A1353" s="2">
        <v>12</v>
      </c>
      <c r="B1353" s="1" t="s">
        <v>181</v>
      </c>
      <c r="C1353" s="4">
        <v>4</v>
      </c>
      <c r="D1353" s="8">
        <v>2</v>
      </c>
      <c r="E1353" s="4">
        <v>3</v>
      </c>
      <c r="F1353" s="8">
        <v>2.48</v>
      </c>
      <c r="G1353" s="4">
        <v>1</v>
      </c>
      <c r="H1353" s="8">
        <v>1.41</v>
      </c>
      <c r="I1353" s="4">
        <v>0</v>
      </c>
    </row>
    <row r="1354" spans="1:9" x14ac:dyDescent="0.2">
      <c r="A1354" s="2">
        <v>12</v>
      </c>
      <c r="B1354" s="1" t="s">
        <v>147</v>
      </c>
      <c r="C1354" s="4">
        <v>4</v>
      </c>
      <c r="D1354" s="8">
        <v>2</v>
      </c>
      <c r="E1354" s="4">
        <v>4</v>
      </c>
      <c r="F1354" s="8">
        <v>3.31</v>
      </c>
      <c r="G1354" s="4">
        <v>0</v>
      </c>
      <c r="H1354" s="8">
        <v>0</v>
      </c>
      <c r="I1354" s="4">
        <v>0</v>
      </c>
    </row>
    <row r="1355" spans="1:9" x14ac:dyDescent="0.2">
      <c r="A1355" s="2">
        <v>12</v>
      </c>
      <c r="B1355" s="1" t="s">
        <v>187</v>
      </c>
      <c r="C1355" s="4">
        <v>4</v>
      </c>
      <c r="D1355" s="8">
        <v>2</v>
      </c>
      <c r="E1355" s="4">
        <v>2</v>
      </c>
      <c r="F1355" s="8">
        <v>1.65</v>
      </c>
      <c r="G1355" s="4">
        <v>2</v>
      </c>
      <c r="H1355" s="8">
        <v>2.82</v>
      </c>
      <c r="I1355" s="4">
        <v>0</v>
      </c>
    </row>
    <row r="1356" spans="1:9" x14ac:dyDescent="0.2">
      <c r="A1356" s="2">
        <v>19</v>
      </c>
      <c r="B1356" s="1" t="s">
        <v>137</v>
      </c>
      <c r="C1356" s="4">
        <v>3</v>
      </c>
      <c r="D1356" s="8">
        <v>1.5</v>
      </c>
      <c r="E1356" s="4">
        <v>3</v>
      </c>
      <c r="F1356" s="8">
        <v>2.48</v>
      </c>
      <c r="G1356" s="4">
        <v>0</v>
      </c>
      <c r="H1356" s="8">
        <v>0</v>
      </c>
      <c r="I1356" s="4">
        <v>0</v>
      </c>
    </row>
    <row r="1357" spans="1:9" x14ac:dyDescent="0.2">
      <c r="A1357" s="2">
        <v>19</v>
      </c>
      <c r="B1357" s="1" t="s">
        <v>220</v>
      </c>
      <c r="C1357" s="4">
        <v>3</v>
      </c>
      <c r="D1357" s="8">
        <v>1.5</v>
      </c>
      <c r="E1357" s="4">
        <v>3</v>
      </c>
      <c r="F1357" s="8">
        <v>2.48</v>
      </c>
      <c r="G1357" s="4">
        <v>0</v>
      </c>
      <c r="H1357" s="8">
        <v>0</v>
      </c>
      <c r="I1357" s="4">
        <v>0</v>
      </c>
    </row>
    <row r="1358" spans="1:9" x14ac:dyDescent="0.2">
      <c r="A1358" s="2">
        <v>19</v>
      </c>
      <c r="B1358" s="1" t="s">
        <v>163</v>
      </c>
      <c r="C1358" s="4">
        <v>3</v>
      </c>
      <c r="D1358" s="8">
        <v>1.5</v>
      </c>
      <c r="E1358" s="4">
        <v>0</v>
      </c>
      <c r="F1358" s="8">
        <v>0</v>
      </c>
      <c r="G1358" s="4">
        <v>3</v>
      </c>
      <c r="H1358" s="8">
        <v>4.2300000000000004</v>
      </c>
      <c r="I1358" s="4">
        <v>0</v>
      </c>
    </row>
    <row r="1359" spans="1:9" x14ac:dyDescent="0.2">
      <c r="A1359" s="2">
        <v>19</v>
      </c>
      <c r="B1359" s="1" t="s">
        <v>199</v>
      </c>
      <c r="C1359" s="4">
        <v>3</v>
      </c>
      <c r="D1359" s="8">
        <v>1.5</v>
      </c>
      <c r="E1359" s="4">
        <v>2</v>
      </c>
      <c r="F1359" s="8">
        <v>1.65</v>
      </c>
      <c r="G1359" s="4">
        <v>1</v>
      </c>
      <c r="H1359" s="8">
        <v>1.41</v>
      </c>
      <c r="I1359" s="4">
        <v>0</v>
      </c>
    </row>
    <row r="1360" spans="1:9" x14ac:dyDescent="0.2">
      <c r="A1360" s="2">
        <v>19</v>
      </c>
      <c r="B1360" s="1" t="s">
        <v>167</v>
      </c>
      <c r="C1360" s="4">
        <v>3</v>
      </c>
      <c r="D1360" s="8">
        <v>1.5</v>
      </c>
      <c r="E1360" s="4">
        <v>3</v>
      </c>
      <c r="F1360" s="8">
        <v>2.48</v>
      </c>
      <c r="G1360" s="4">
        <v>0</v>
      </c>
      <c r="H1360" s="8">
        <v>0</v>
      </c>
      <c r="I1360" s="4">
        <v>0</v>
      </c>
    </row>
    <row r="1361" spans="1:9" x14ac:dyDescent="0.2">
      <c r="A1361" s="2">
        <v>19</v>
      </c>
      <c r="B1361" s="1" t="s">
        <v>203</v>
      </c>
      <c r="C1361" s="4">
        <v>3</v>
      </c>
      <c r="D1361" s="8">
        <v>1.5</v>
      </c>
      <c r="E1361" s="4">
        <v>3</v>
      </c>
      <c r="F1361" s="8">
        <v>2.48</v>
      </c>
      <c r="G1361" s="4">
        <v>0</v>
      </c>
      <c r="H1361" s="8">
        <v>0</v>
      </c>
      <c r="I1361" s="4">
        <v>0</v>
      </c>
    </row>
    <row r="1362" spans="1:9" x14ac:dyDescent="0.2">
      <c r="A1362" s="2">
        <v>19</v>
      </c>
      <c r="B1362" s="1" t="s">
        <v>142</v>
      </c>
      <c r="C1362" s="4">
        <v>3</v>
      </c>
      <c r="D1362" s="8">
        <v>1.5</v>
      </c>
      <c r="E1362" s="4">
        <v>1</v>
      </c>
      <c r="F1362" s="8">
        <v>0.83</v>
      </c>
      <c r="G1362" s="4">
        <v>2</v>
      </c>
      <c r="H1362" s="8">
        <v>2.82</v>
      </c>
      <c r="I1362" s="4">
        <v>0</v>
      </c>
    </row>
    <row r="1363" spans="1:9" x14ac:dyDescent="0.2">
      <c r="A1363" s="2">
        <v>19</v>
      </c>
      <c r="B1363" s="1" t="s">
        <v>204</v>
      </c>
      <c r="C1363" s="4">
        <v>3</v>
      </c>
      <c r="D1363" s="8">
        <v>1.5</v>
      </c>
      <c r="E1363" s="4">
        <v>2</v>
      </c>
      <c r="F1363" s="8">
        <v>1.65</v>
      </c>
      <c r="G1363" s="4">
        <v>1</v>
      </c>
      <c r="H1363" s="8">
        <v>1.41</v>
      </c>
      <c r="I1363" s="4">
        <v>0</v>
      </c>
    </row>
    <row r="1364" spans="1:9" x14ac:dyDescent="0.2">
      <c r="A1364" s="2">
        <v>19</v>
      </c>
      <c r="B1364" s="1" t="s">
        <v>170</v>
      </c>
      <c r="C1364" s="4">
        <v>3</v>
      </c>
      <c r="D1364" s="8">
        <v>1.5</v>
      </c>
      <c r="E1364" s="4">
        <v>3</v>
      </c>
      <c r="F1364" s="8">
        <v>2.48</v>
      </c>
      <c r="G1364" s="4">
        <v>0</v>
      </c>
      <c r="H1364" s="8">
        <v>0</v>
      </c>
      <c r="I1364" s="4">
        <v>0</v>
      </c>
    </row>
    <row r="1365" spans="1:9" x14ac:dyDescent="0.2">
      <c r="A1365" s="2">
        <v>19</v>
      </c>
      <c r="B1365" s="1" t="s">
        <v>176</v>
      </c>
      <c r="C1365" s="4">
        <v>3</v>
      </c>
      <c r="D1365" s="8">
        <v>1.5</v>
      </c>
      <c r="E1365" s="4">
        <v>0</v>
      </c>
      <c r="F1365" s="8">
        <v>0</v>
      </c>
      <c r="G1365" s="4">
        <v>3</v>
      </c>
      <c r="H1365" s="8">
        <v>4.2300000000000004</v>
      </c>
      <c r="I1365" s="4">
        <v>0</v>
      </c>
    </row>
    <row r="1366" spans="1:9" x14ac:dyDescent="0.2">
      <c r="A1366" s="1"/>
      <c r="C1366" s="4"/>
      <c r="D1366" s="8"/>
      <c r="E1366" s="4"/>
      <c r="F1366" s="8"/>
      <c r="G1366" s="4"/>
      <c r="H1366" s="8"/>
      <c r="I136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7F1-DCC3-4D1C-9287-F6DA12C3612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141</v>
      </c>
      <c r="D6" s="8">
        <v>26.06</v>
      </c>
      <c r="E6" s="12">
        <v>48</v>
      </c>
      <c r="F6" s="8">
        <v>18.53</v>
      </c>
      <c r="G6" s="12">
        <v>93</v>
      </c>
      <c r="H6" s="8">
        <v>33.450000000000003</v>
      </c>
      <c r="I6" s="12">
        <v>0</v>
      </c>
    </row>
    <row r="7" spans="2:9" ht="15" customHeight="1" x14ac:dyDescent="0.2">
      <c r="B7" t="s">
        <v>53</v>
      </c>
      <c r="C7" s="12">
        <v>36</v>
      </c>
      <c r="D7" s="8">
        <v>6.65</v>
      </c>
      <c r="E7" s="12">
        <v>13</v>
      </c>
      <c r="F7" s="8">
        <v>5.0199999999999996</v>
      </c>
      <c r="G7" s="12">
        <v>23</v>
      </c>
      <c r="H7" s="8">
        <v>8.27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5</v>
      </c>
      <c r="D9" s="8">
        <v>0.92</v>
      </c>
      <c r="E9" s="12">
        <v>0</v>
      </c>
      <c r="F9" s="8">
        <v>0</v>
      </c>
      <c r="G9" s="12">
        <v>5</v>
      </c>
      <c r="H9" s="8">
        <v>1.8</v>
      </c>
      <c r="I9" s="12">
        <v>0</v>
      </c>
    </row>
    <row r="10" spans="2:9" ht="15" customHeight="1" x14ac:dyDescent="0.2">
      <c r="B10" t="s">
        <v>56</v>
      </c>
      <c r="C10" s="12">
        <v>15</v>
      </c>
      <c r="D10" s="8">
        <v>2.77</v>
      </c>
      <c r="E10" s="12">
        <v>4</v>
      </c>
      <c r="F10" s="8">
        <v>1.54</v>
      </c>
      <c r="G10" s="12">
        <v>11</v>
      </c>
      <c r="H10" s="8">
        <v>3.96</v>
      </c>
      <c r="I10" s="12">
        <v>0</v>
      </c>
    </row>
    <row r="11" spans="2:9" ht="15" customHeight="1" x14ac:dyDescent="0.2">
      <c r="B11" t="s">
        <v>57</v>
      </c>
      <c r="C11" s="12">
        <v>109</v>
      </c>
      <c r="D11" s="8">
        <v>20.149999999999999</v>
      </c>
      <c r="E11" s="12">
        <v>47</v>
      </c>
      <c r="F11" s="8">
        <v>18.149999999999999</v>
      </c>
      <c r="G11" s="12">
        <v>62</v>
      </c>
      <c r="H11" s="8">
        <v>22.3</v>
      </c>
      <c r="I11" s="12">
        <v>0</v>
      </c>
    </row>
    <row r="12" spans="2:9" ht="15" customHeight="1" x14ac:dyDescent="0.2">
      <c r="B12" t="s">
        <v>58</v>
      </c>
      <c r="C12" s="12">
        <v>6</v>
      </c>
      <c r="D12" s="8">
        <v>1.1100000000000001</v>
      </c>
      <c r="E12" s="12">
        <v>3</v>
      </c>
      <c r="F12" s="8">
        <v>1.1599999999999999</v>
      </c>
      <c r="G12" s="12">
        <v>3</v>
      </c>
      <c r="H12" s="8">
        <v>1.08</v>
      </c>
      <c r="I12" s="12">
        <v>0</v>
      </c>
    </row>
    <row r="13" spans="2:9" ht="15" customHeight="1" x14ac:dyDescent="0.2">
      <c r="B13" t="s">
        <v>59</v>
      </c>
      <c r="C13" s="12">
        <v>41</v>
      </c>
      <c r="D13" s="8">
        <v>7.58</v>
      </c>
      <c r="E13" s="12">
        <v>11</v>
      </c>
      <c r="F13" s="8">
        <v>4.25</v>
      </c>
      <c r="G13" s="12">
        <v>28</v>
      </c>
      <c r="H13" s="8">
        <v>10.07</v>
      </c>
      <c r="I13" s="12">
        <v>1</v>
      </c>
    </row>
    <row r="14" spans="2:9" ht="15" customHeight="1" x14ac:dyDescent="0.2">
      <c r="B14" t="s">
        <v>60</v>
      </c>
      <c r="C14" s="12">
        <v>32</v>
      </c>
      <c r="D14" s="8">
        <v>5.91</v>
      </c>
      <c r="E14" s="12">
        <v>17</v>
      </c>
      <c r="F14" s="8">
        <v>6.56</v>
      </c>
      <c r="G14" s="12">
        <v>15</v>
      </c>
      <c r="H14" s="8">
        <v>5.4</v>
      </c>
      <c r="I14" s="12">
        <v>0</v>
      </c>
    </row>
    <row r="15" spans="2:9" ht="15" customHeight="1" x14ac:dyDescent="0.2">
      <c r="B15" t="s">
        <v>61</v>
      </c>
      <c r="C15" s="12">
        <v>25</v>
      </c>
      <c r="D15" s="8">
        <v>4.62</v>
      </c>
      <c r="E15" s="12">
        <v>21</v>
      </c>
      <c r="F15" s="8">
        <v>8.11</v>
      </c>
      <c r="G15" s="12">
        <v>4</v>
      </c>
      <c r="H15" s="8">
        <v>1.44</v>
      </c>
      <c r="I15" s="12">
        <v>0</v>
      </c>
    </row>
    <row r="16" spans="2:9" ht="15" customHeight="1" x14ac:dyDescent="0.2">
      <c r="B16" t="s">
        <v>62</v>
      </c>
      <c r="C16" s="12">
        <v>53</v>
      </c>
      <c r="D16" s="8">
        <v>9.8000000000000007</v>
      </c>
      <c r="E16" s="12">
        <v>44</v>
      </c>
      <c r="F16" s="8">
        <v>16.989999999999998</v>
      </c>
      <c r="G16" s="12">
        <v>8</v>
      </c>
      <c r="H16" s="8">
        <v>2.88</v>
      </c>
      <c r="I16" s="12">
        <v>0</v>
      </c>
    </row>
    <row r="17" spans="2:9" ht="15" customHeight="1" x14ac:dyDescent="0.2">
      <c r="B17" t="s">
        <v>63</v>
      </c>
      <c r="C17" s="12">
        <v>21</v>
      </c>
      <c r="D17" s="8">
        <v>3.88</v>
      </c>
      <c r="E17" s="12">
        <v>18</v>
      </c>
      <c r="F17" s="8">
        <v>6.95</v>
      </c>
      <c r="G17" s="12">
        <v>3</v>
      </c>
      <c r="H17" s="8">
        <v>1.08</v>
      </c>
      <c r="I17" s="12">
        <v>0</v>
      </c>
    </row>
    <row r="18" spans="2:9" ht="15" customHeight="1" x14ac:dyDescent="0.2">
      <c r="B18" t="s">
        <v>64</v>
      </c>
      <c r="C18" s="12">
        <v>26</v>
      </c>
      <c r="D18" s="8">
        <v>4.8099999999999996</v>
      </c>
      <c r="E18" s="12">
        <v>18</v>
      </c>
      <c r="F18" s="8">
        <v>6.95</v>
      </c>
      <c r="G18" s="12">
        <v>8</v>
      </c>
      <c r="H18" s="8">
        <v>2.88</v>
      </c>
      <c r="I18" s="12">
        <v>0</v>
      </c>
    </row>
    <row r="19" spans="2:9" ht="15" customHeight="1" x14ac:dyDescent="0.2">
      <c r="B19" t="s">
        <v>65</v>
      </c>
      <c r="C19" s="12">
        <v>31</v>
      </c>
      <c r="D19" s="8">
        <v>5.73</v>
      </c>
      <c r="E19" s="12">
        <v>15</v>
      </c>
      <c r="F19" s="8">
        <v>5.79</v>
      </c>
      <c r="G19" s="12">
        <v>15</v>
      </c>
      <c r="H19" s="8">
        <v>5.4</v>
      </c>
      <c r="I19" s="12">
        <v>1</v>
      </c>
    </row>
    <row r="20" spans="2:9" ht="15" customHeight="1" x14ac:dyDescent="0.2">
      <c r="B20" s="9" t="s">
        <v>281</v>
      </c>
      <c r="C20" s="12">
        <f>SUM(LTBL_43443[総数／事業所数])</f>
        <v>541</v>
      </c>
      <c r="E20" s="12">
        <f>SUBTOTAL(109,LTBL_43443[個人／事業所数])</f>
        <v>259</v>
      </c>
      <c r="G20" s="12">
        <f>SUBTOTAL(109,LTBL_43443[法人／事業所数])</f>
        <v>278</v>
      </c>
      <c r="I20" s="12">
        <f>SUBTOTAL(109,LTBL_43443[法人以外の団体／事業所数])</f>
        <v>2</v>
      </c>
    </row>
    <row r="21" spans="2:9" ht="15" customHeight="1" x14ac:dyDescent="0.2">
      <c r="E21" s="11">
        <f>LTBL_43443[[#Totals],[個人／事業所数]]/LTBL_43443[[#Totals],[総数／事業所数]]</f>
        <v>0.47874306839186692</v>
      </c>
      <c r="G21" s="11">
        <f>LTBL_43443[[#Totals],[法人／事業所数]]/LTBL_43443[[#Totals],[総数／事業所数]]</f>
        <v>0.51386321626617371</v>
      </c>
      <c r="I21" s="11">
        <f>LTBL_43443[[#Totals],[法人以外の団体／事業所数]]/LTBL_43443[[#Totals],[総数／事業所数]]</f>
        <v>3.6968576709796672E-3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68</v>
      </c>
      <c r="D24" s="8">
        <v>12.57</v>
      </c>
      <c r="E24" s="12">
        <v>19</v>
      </c>
      <c r="F24" s="8">
        <v>7.34</v>
      </c>
      <c r="G24" s="12">
        <v>49</v>
      </c>
      <c r="H24" s="8">
        <v>17.63</v>
      </c>
      <c r="I24" s="12">
        <v>0</v>
      </c>
    </row>
    <row r="25" spans="2:9" ht="15" customHeight="1" x14ac:dyDescent="0.2">
      <c r="B25" t="s">
        <v>75</v>
      </c>
      <c r="C25" s="12">
        <v>48</v>
      </c>
      <c r="D25" s="8">
        <v>8.8699999999999992</v>
      </c>
      <c r="E25" s="12">
        <v>21</v>
      </c>
      <c r="F25" s="8">
        <v>8.11</v>
      </c>
      <c r="G25" s="12">
        <v>27</v>
      </c>
      <c r="H25" s="8">
        <v>9.7100000000000009</v>
      </c>
      <c r="I25" s="12">
        <v>0</v>
      </c>
    </row>
    <row r="26" spans="2:9" ht="15" customHeight="1" x14ac:dyDescent="0.2">
      <c r="B26" t="s">
        <v>89</v>
      </c>
      <c r="C26" s="12">
        <v>43</v>
      </c>
      <c r="D26" s="8">
        <v>7.95</v>
      </c>
      <c r="E26" s="12">
        <v>39</v>
      </c>
      <c r="F26" s="8">
        <v>15.06</v>
      </c>
      <c r="G26" s="12">
        <v>4</v>
      </c>
      <c r="H26" s="8">
        <v>1.44</v>
      </c>
      <c r="I26" s="12">
        <v>0</v>
      </c>
    </row>
    <row r="27" spans="2:9" ht="15" customHeight="1" x14ac:dyDescent="0.2">
      <c r="B27" t="s">
        <v>83</v>
      </c>
      <c r="C27" s="12">
        <v>29</v>
      </c>
      <c r="D27" s="8">
        <v>5.36</v>
      </c>
      <c r="E27" s="12">
        <v>9</v>
      </c>
      <c r="F27" s="8">
        <v>3.47</v>
      </c>
      <c r="G27" s="12">
        <v>20</v>
      </c>
      <c r="H27" s="8">
        <v>7.19</v>
      </c>
      <c r="I27" s="12">
        <v>0</v>
      </c>
    </row>
    <row r="28" spans="2:9" ht="15" customHeight="1" x14ac:dyDescent="0.2">
      <c r="B28" t="s">
        <v>76</v>
      </c>
      <c r="C28" s="12">
        <v>25</v>
      </c>
      <c r="D28" s="8">
        <v>4.62</v>
      </c>
      <c r="E28" s="12">
        <v>8</v>
      </c>
      <c r="F28" s="8">
        <v>3.09</v>
      </c>
      <c r="G28" s="12">
        <v>17</v>
      </c>
      <c r="H28" s="8">
        <v>6.12</v>
      </c>
      <c r="I28" s="12">
        <v>0</v>
      </c>
    </row>
    <row r="29" spans="2:9" ht="15" customHeight="1" x14ac:dyDescent="0.2">
      <c r="B29" t="s">
        <v>85</v>
      </c>
      <c r="C29" s="12">
        <v>23</v>
      </c>
      <c r="D29" s="8">
        <v>4.25</v>
      </c>
      <c r="E29" s="12">
        <v>7</v>
      </c>
      <c r="F29" s="8">
        <v>2.7</v>
      </c>
      <c r="G29" s="12">
        <v>15</v>
      </c>
      <c r="H29" s="8">
        <v>5.4</v>
      </c>
      <c r="I29" s="12">
        <v>0</v>
      </c>
    </row>
    <row r="30" spans="2:9" ht="15" customHeight="1" x14ac:dyDescent="0.2">
      <c r="B30" t="s">
        <v>82</v>
      </c>
      <c r="C30" s="12">
        <v>22</v>
      </c>
      <c r="D30" s="8">
        <v>4.07</v>
      </c>
      <c r="E30" s="12">
        <v>17</v>
      </c>
      <c r="F30" s="8">
        <v>6.56</v>
      </c>
      <c r="G30" s="12">
        <v>5</v>
      </c>
      <c r="H30" s="8">
        <v>1.8</v>
      </c>
      <c r="I30" s="12">
        <v>0</v>
      </c>
    </row>
    <row r="31" spans="2:9" ht="15" customHeight="1" x14ac:dyDescent="0.2">
      <c r="B31" t="s">
        <v>86</v>
      </c>
      <c r="C31" s="12">
        <v>21</v>
      </c>
      <c r="D31" s="8">
        <v>3.88</v>
      </c>
      <c r="E31" s="12">
        <v>15</v>
      </c>
      <c r="F31" s="8">
        <v>5.79</v>
      </c>
      <c r="G31" s="12">
        <v>6</v>
      </c>
      <c r="H31" s="8">
        <v>2.16</v>
      </c>
      <c r="I31" s="12">
        <v>0</v>
      </c>
    </row>
    <row r="32" spans="2:9" ht="15" customHeight="1" x14ac:dyDescent="0.2">
      <c r="B32" t="s">
        <v>90</v>
      </c>
      <c r="C32" s="12">
        <v>21</v>
      </c>
      <c r="D32" s="8">
        <v>3.88</v>
      </c>
      <c r="E32" s="12">
        <v>18</v>
      </c>
      <c r="F32" s="8">
        <v>6.95</v>
      </c>
      <c r="G32" s="12">
        <v>3</v>
      </c>
      <c r="H32" s="8">
        <v>1.08</v>
      </c>
      <c r="I32" s="12">
        <v>0</v>
      </c>
    </row>
    <row r="33" spans="2:9" ht="15" customHeight="1" x14ac:dyDescent="0.2">
      <c r="B33" t="s">
        <v>88</v>
      </c>
      <c r="C33" s="12">
        <v>20</v>
      </c>
      <c r="D33" s="8">
        <v>3.7</v>
      </c>
      <c r="E33" s="12">
        <v>18</v>
      </c>
      <c r="F33" s="8">
        <v>6.95</v>
      </c>
      <c r="G33" s="12">
        <v>2</v>
      </c>
      <c r="H33" s="8">
        <v>0.72</v>
      </c>
      <c r="I33" s="12">
        <v>0</v>
      </c>
    </row>
    <row r="34" spans="2:9" ht="15" customHeight="1" x14ac:dyDescent="0.2">
      <c r="B34" t="s">
        <v>91</v>
      </c>
      <c r="C34" s="12">
        <v>19</v>
      </c>
      <c r="D34" s="8">
        <v>3.51</v>
      </c>
      <c r="E34" s="12">
        <v>18</v>
      </c>
      <c r="F34" s="8">
        <v>6.95</v>
      </c>
      <c r="G34" s="12">
        <v>1</v>
      </c>
      <c r="H34" s="8">
        <v>0.36</v>
      </c>
      <c r="I34" s="12">
        <v>0</v>
      </c>
    </row>
    <row r="35" spans="2:9" ht="15" customHeight="1" x14ac:dyDescent="0.2">
      <c r="B35" t="s">
        <v>93</v>
      </c>
      <c r="C35" s="12">
        <v>16</v>
      </c>
      <c r="D35" s="8">
        <v>2.96</v>
      </c>
      <c r="E35" s="12">
        <v>13</v>
      </c>
      <c r="F35" s="8">
        <v>5.0199999999999996</v>
      </c>
      <c r="G35" s="12">
        <v>3</v>
      </c>
      <c r="H35" s="8">
        <v>1.08</v>
      </c>
      <c r="I35" s="12">
        <v>0</v>
      </c>
    </row>
    <row r="36" spans="2:9" ht="15" customHeight="1" x14ac:dyDescent="0.2">
      <c r="B36" t="s">
        <v>81</v>
      </c>
      <c r="C36" s="12">
        <v>14</v>
      </c>
      <c r="D36" s="8">
        <v>2.59</v>
      </c>
      <c r="E36" s="12">
        <v>11</v>
      </c>
      <c r="F36" s="8">
        <v>4.25</v>
      </c>
      <c r="G36" s="12">
        <v>3</v>
      </c>
      <c r="H36" s="8">
        <v>1.08</v>
      </c>
      <c r="I36" s="12">
        <v>0</v>
      </c>
    </row>
    <row r="37" spans="2:9" ht="15" customHeight="1" x14ac:dyDescent="0.2">
      <c r="B37" t="s">
        <v>79</v>
      </c>
      <c r="C37" s="12">
        <v>13</v>
      </c>
      <c r="D37" s="8">
        <v>2.4</v>
      </c>
      <c r="E37" s="12">
        <v>0</v>
      </c>
      <c r="F37" s="8">
        <v>0</v>
      </c>
      <c r="G37" s="12">
        <v>13</v>
      </c>
      <c r="H37" s="8">
        <v>4.68</v>
      </c>
      <c r="I37" s="12">
        <v>0</v>
      </c>
    </row>
    <row r="38" spans="2:9" ht="15" customHeight="1" x14ac:dyDescent="0.2">
      <c r="B38" t="s">
        <v>84</v>
      </c>
      <c r="C38" s="12">
        <v>13</v>
      </c>
      <c r="D38" s="8">
        <v>2.4</v>
      </c>
      <c r="E38" s="12">
        <v>3</v>
      </c>
      <c r="F38" s="8">
        <v>1.1599999999999999</v>
      </c>
      <c r="G38" s="12">
        <v>9</v>
      </c>
      <c r="H38" s="8">
        <v>3.24</v>
      </c>
      <c r="I38" s="12">
        <v>1</v>
      </c>
    </row>
    <row r="39" spans="2:9" ht="15" customHeight="1" x14ac:dyDescent="0.2">
      <c r="B39" t="s">
        <v>94</v>
      </c>
      <c r="C39" s="12">
        <v>9</v>
      </c>
      <c r="D39" s="8">
        <v>1.66</v>
      </c>
      <c r="E39" s="12">
        <v>3</v>
      </c>
      <c r="F39" s="8">
        <v>1.1599999999999999</v>
      </c>
      <c r="G39" s="12">
        <v>6</v>
      </c>
      <c r="H39" s="8">
        <v>2.16</v>
      </c>
      <c r="I39" s="12">
        <v>0</v>
      </c>
    </row>
    <row r="40" spans="2:9" ht="15" customHeight="1" x14ac:dyDescent="0.2">
      <c r="B40" t="s">
        <v>97</v>
      </c>
      <c r="C40" s="12">
        <v>9</v>
      </c>
      <c r="D40" s="8">
        <v>1.66</v>
      </c>
      <c r="E40" s="12">
        <v>4</v>
      </c>
      <c r="F40" s="8">
        <v>1.54</v>
      </c>
      <c r="G40" s="12">
        <v>4</v>
      </c>
      <c r="H40" s="8">
        <v>1.44</v>
      </c>
      <c r="I40" s="12">
        <v>0</v>
      </c>
    </row>
    <row r="41" spans="2:9" ht="15" customHeight="1" x14ac:dyDescent="0.2">
      <c r="B41" t="s">
        <v>98</v>
      </c>
      <c r="C41" s="12">
        <v>8</v>
      </c>
      <c r="D41" s="8">
        <v>1.48</v>
      </c>
      <c r="E41" s="12">
        <v>4</v>
      </c>
      <c r="F41" s="8">
        <v>1.54</v>
      </c>
      <c r="G41" s="12">
        <v>4</v>
      </c>
      <c r="H41" s="8">
        <v>1.44</v>
      </c>
      <c r="I41" s="12">
        <v>0</v>
      </c>
    </row>
    <row r="42" spans="2:9" ht="15" customHeight="1" x14ac:dyDescent="0.2">
      <c r="B42" t="s">
        <v>87</v>
      </c>
      <c r="C42" s="12">
        <v>8</v>
      </c>
      <c r="D42" s="8">
        <v>1.48</v>
      </c>
      <c r="E42" s="12">
        <v>2</v>
      </c>
      <c r="F42" s="8">
        <v>0.77</v>
      </c>
      <c r="G42" s="12">
        <v>6</v>
      </c>
      <c r="H42" s="8">
        <v>2.16</v>
      </c>
      <c r="I42" s="12">
        <v>0</v>
      </c>
    </row>
    <row r="43" spans="2:9" ht="15" customHeight="1" x14ac:dyDescent="0.2">
      <c r="B43" t="s">
        <v>99</v>
      </c>
      <c r="C43" s="12">
        <v>7</v>
      </c>
      <c r="D43" s="8">
        <v>1.29</v>
      </c>
      <c r="E43" s="12">
        <v>3</v>
      </c>
      <c r="F43" s="8">
        <v>1.1599999999999999</v>
      </c>
      <c r="G43" s="12">
        <v>4</v>
      </c>
      <c r="H43" s="8">
        <v>1.44</v>
      </c>
      <c r="I43" s="12">
        <v>0</v>
      </c>
    </row>
    <row r="44" spans="2:9" ht="15" customHeight="1" x14ac:dyDescent="0.2">
      <c r="B44" t="s">
        <v>92</v>
      </c>
      <c r="C44" s="12">
        <v>7</v>
      </c>
      <c r="D44" s="8">
        <v>1.29</v>
      </c>
      <c r="E44" s="12">
        <v>0</v>
      </c>
      <c r="F44" s="8">
        <v>0</v>
      </c>
      <c r="G44" s="12">
        <v>7</v>
      </c>
      <c r="H44" s="8">
        <v>2.52</v>
      </c>
      <c r="I44" s="12">
        <v>0</v>
      </c>
    </row>
    <row r="45" spans="2:9" ht="15" customHeight="1" x14ac:dyDescent="0.2">
      <c r="B45" t="s">
        <v>95</v>
      </c>
      <c r="C45" s="12">
        <v>7</v>
      </c>
      <c r="D45" s="8">
        <v>1.29</v>
      </c>
      <c r="E45" s="12">
        <v>0</v>
      </c>
      <c r="F45" s="8">
        <v>0</v>
      </c>
      <c r="G45" s="12">
        <v>6</v>
      </c>
      <c r="H45" s="8">
        <v>2.16</v>
      </c>
      <c r="I45" s="12">
        <v>1</v>
      </c>
    </row>
    <row r="48" spans="2:9" ht="33" customHeight="1" x14ac:dyDescent="0.2">
      <c r="B48" t="s">
        <v>283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135</v>
      </c>
      <c r="C49" s="12">
        <v>28</v>
      </c>
      <c r="D49" s="8">
        <v>5.18</v>
      </c>
      <c r="E49" s="12">
        <v>6</v>
      </c>
      <c r="F49" s="8">
        <v>2.3199999999999998</v>
      </c>
      <c r="G49" s="12">
        <v>22</v>
      </c>
      <c r="H49" s="8">
        <v>7.91</v>
      </c>
      <c r="I49" s="12">
        <v>0</v>
      </c>
    </row>
    <row r="50" spans="2:9" ht="15" customHeight="1" x14ac:dyDescent="0.2">
      <c r="B50" t="s">
        <v>151</v>
      </c>
      <c r="C50" s="12">
        <v>25</v>
      </c>
      <c r="D50" s="8">
        <v>4.62</v>
      </c>
      <c r="E50" s="12">
        <v>23</v>
      </c>
      <c r="F50" s="8">
        <v>8.8800000000000008</v>
      </c>
      <c r="G50" s="12">
        <v>2</v>
      </c>
      <c r="H50" s="8">
        <v>0.72</v>
      </c>
      <c r="I50" s="12">
        <v>0</v>
      </c>
    </row>
    <row r="51" spans="2:9" ht="15" customHeight="1" x14ac:dyDescent="0.2">
      <c r="B51" t="s">
        <v>137</v>
      </c>
      <c r="C51" s="12">
        <v>18</v>
      </c>
      <c r="D51" s="8">
        <v>3.33</v>
      </c>
      <c r="E51" s="12">
        <v>9</v>
      </c>
      <c r="F51" s="8">
        <v>3.47</v>
      </c>
      <c r="G51" s="12">
        <v>9</v>
      </c>
      <c r="H51" s="8">
        <v>3.24</v>
      </c>
      <c r="I51" s="12">
        <v>0</v>
      </c>
    </row>
    <row r="52" spans="2:9" ht="15" customHeight="1" x14ac:dyDescent="0.2">
      <c r="B52" t="s">
        <v>141</v>
      </c>
      <c r="C52" s="12">
        <v>17</v>
      </c>
      <c r="D52" s="8">
        <v>3.14</v>
      </c>
      <c r="E52" s="12">
        <v>13</v>
      </c>
      <c r="F52" s="8">
        <v>5.0199999999999996</v>
      </c>
      <c r="G52" s="12">
        <v>4</v>
      </c>
      <c r="H52" s="8">
        <v>1.44</v>
      </c>
      <c r="I52" s="12">
        <v>0</v>
      </c>
    </row>
    <row r="53" spans="2:9" ht="15" customHeight="1" x14ac:dyDescent="0.2">
      <c r="B53" t="s">
        <v>153</v>
      </c>
      <c r="C53" s="12">
        <v>17</v>
      </c>
      <c r="D53" s="8">
        <v>3.14</v>
      </c>
      <c r="E53" s="12">
        <v>16</v>
      </c>
      <c r="F53" s="8">
        <v>6.18</v>
      </c>
      <c r="G53" s="12">
        <v>1</v>
      </c>
      <c r="H53" s="8">
        <v>0.36</v>
      </c>
      <c r="I53" s="12">
        <v>0</v>
      </c>
    </row>
    <row r="54" spans="2:9" ht="15" customHeight="1" x14ac:dyDescent="0.2">
      <c r="B54" t="s">
        <v>152</v>
      </c>
      <c r="C54" s="12">
        <v>16</v>
      </c>
      <c r="D54" s="8">
        <v>2.96</v>
      </c>
      <c r="E54" s="12">
        <v>14</v>
      </c>
      <c r="F54" s="8">
        <v>5.41</v>
      </c>
      <c r="G54" s="12">
        <v>2</v>
      </c>
      <c r="H54" s="8">
        <v>0.72</v>
      </c>
      <c r="I54" s="12">
        <v>0</v>
      </c>
    </row>
    <row r="55" spans="2:9" ht="15" customHeight="1" x14ac:dyDescent="0.2">
      <c r="B55" t="s">
        <v>154</v>
      </c>
      <c r="C55" s="12">
        <v>16</v>
      </c>
      <c r="D55" s="8">
        <v>2.96</v>
      </c>
      <c r="E55" s="12">
        <v>13</v>
      </c>
      <c r="F55" s="8">
        <v>5.0199999999999996</v>
      </c>
      <c r="G55" s="12">
        <v>3</v>
      </c>
      <c r="H55" s="8">
        <v>1.08</v>
      </c>
      <c r="I55" s="12">
        <v>0</v>
      </c>
    </row>
    <row r="56" spans="2:9" ht="15" customHeight="1" x14ac:dyDescent="0.2">
      <c r="B56" t="s">
        <v>136</v>
      </c>
      <c r="C56" s="12">
        <v>15</v>
      </c>
      <c r="D56" s="8">
        <v>2.77</v>
      </c>
      <c r="E56" s="12">
        <v>2</v>
      </c>
      <c r="F56" s="8">
        <v>0.77</v>
      </c>
      <c r="G56" s="12">
        <v>13</v>
      </c>
      <c r="H56" s="8">
        <v>4.68</v>
      </c>
      <c r="I56" s="12">
        <v>0</v>
      </c>
    </row>
    <row r="57" spans="2:9" ht="15" customHeight="1" x14ac:dyDescent="0.2">
      <c r="B57" t="s">
        <v>145</v>
      </c>
      <c r="C57" s="12">
        <v>15</v>
      </c>
      <c r="D57" s="8">
        <v>2.77</v>
      </c>
      <c r="E57" s="12">
        <v>6</v>
      </c>
      <c r="F57" s="8">
        <v>2.3199999999999998</v>
      </c>
      <c r="G57" s="12">
        <v>8</v>
      </c>
      <c r="H57" s="8">
        <v>2.88</v>
      </c>
      <c r="I57" s="12">
        <v>0</v>
      </c>
    </row>
    <row r="58" spans="2:9" ht="15" customHeight="1" x14ac:dyDescent="0.2">
      <c r="B58" t="s">
        <v>175</v>
      </c>
      <c r="C58" s="12">
        <v>12</v>
      </c>
      <c r="D58" s="8">
        <v>2.2200000000000002</v>
      </c>
      <c r="E58" s="12">
        <v>7</v>
      </c>
      <c r="F58" s="8">
        <v>2.7</v>
      </c>
      <c r="G58" s="12">
        <v>5</v>
      </c>
      <c r="H58" s="8">
        <v>1.8</v>
      </c>
      <c r="I58" s="12">
        <v>0</v>
      </c>
    </row>
    <row r="59" spans="2:9" ht="15" customHeight="1" x14ac:dyDescent="0.2">
      <c r="B59" t="s">
        <v>138</v>
      </c>
      <c r="C59" s="12">
        <v>12</v>
      </c>
      <c r="D59" s="8">
        <v>2.2200000000000002</v>
      </c>
      <c r="E59" s="12">
        <v>8</v>
      </c>
      <c r="F59" s="8">
        <v>3.09</v>
      </c>
      <c r="G59" s="12">
        <v>4</v>
      </c>
      <c r="H59" s="8">
        <v>1.44</v>
      </c>
      <c r="I59" s="12">
        <v>0</v>
      </c>
    </row>
    <row r="60" spans="2:9" ht="15" customHeight="1" x14ac:dyDescent="0.2">
      <c r="B60" t="s">
        <v>150</v>
      </c>
      <c r="C60" s="12">
        <v>12</v>
      </c>
      <c r="D60" s="8">
        <v>2.2200000000000002</v>
      </c>
      <c r="E60" s="12">
        <v>12</v>
      </c>
      <c r="F60" s="8">
        <v>4.63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142</v>
      </c>
      <c r="C61" s="12">
        <v>11</v>
      </c>
      <c r="D61" s="8">
        <v>2.0299999999999998</v>
      </c>
      <c r="E61" s="12">
        <v>3</v>
      </c>
      <c r="F61" s="8">
        <v>1.1599999999999999</v>
      </c>
      <c r="G61" s="12">
        <v>8</v>
      </c>
      <c r="H61" s="8">
        <v>2.88</v>
      </c>
      <c r="I61" s="12">
        <v>0</v>
      </c>
    </row>
    <row r="62" spans="2:9" ht="15" customHeight="1" x14ac:dyDescent="0.2">
      <c r="B62" t="s">
        <v>168</v>
      </c>
      <c r="C62" s="12">
        <v>11</v>
      </c>
      <c r="D62" s="8">
        <v>2.0299999999999998</v>
      </c>
      <c r="E62" s="12">
        <v>4</v>
      </c>
      <c r="F62" s="8">
        <v>1.54</v>
      </c>
      <c r="G62" s="12">
        <v>7</v>
      </c>
      <c r="H62" s="8">
        <v>2.52</v>
      </c>
      <c r="I62" s="12">
        <v>0</v>
      </c>
    </row>
    <row r="63" spans="2:9" ht="15" customHeight="1" x14ac:dyDescent="0.2">
      <c r="B63" t="s">
        <v>155</v>
      </c>
      <c r="C63" s="12">
        <v>11</v>
      </c>
      <c r="D63" s="8">
        <v>2.0299999999999998</v>
      </c>
      <c r="E63" s="12">
        <v>3</v>
      </c>
      <c r="F63" s="8">
        <v>1.1599999999999999</v>
      </c>
      <c r="G63" s="12">
        <v>8</v>
      </c>
      <c r="H63" s="8">
        <v>2.88</v>
      </c>
      <c r="I63" s="12">
        <v>0</v>
      </c>
    </row>
    <row r="64" spans="2:9" ht="15" customHeight="1" x14ac:dyDescent="0.2">
      <c r="B64" t="s">
        <v>162</v>
      </c>
      <c r="C64" s="12">
        <v>10</v>
      </c>
      <c r="D64" s="8">
        <v>1.85</v>
      </c>
      <c r="E64" s="12">
        <v>4</v>
      </c>
      <c r="F64" s="8">
        <v>1.54</v>
      </c>
      <c r="G64" s="12">
        <v>6</v>
      </c>
      <c r="H64" s="8">
        <v>2.16</v>
      </c>
      <c r="I64" s="12">
        <v>0</v>
      </c>
    </row>
    <row r="65" spans="2:9" ht="15" customHeight="1" x14ac:dyDescent="0.2">
      <c r="B65" t="s">
        <v>163</v>
      </c>
      <c r="C65" s="12">
        <v>10</v>
      </c>
      <c r="D65" s="8">
        <v>1.85</v>
      </c>
      <c r="E65" s="12">
        <v>0</v>
      </c>
      <c r="F65" s="8">
        <v>0</v>
      </c>
      <c r="G65" s="12">
        <v>10</v>
      </c>
      <c r="H65" s="8">
        <v>3.6</v>
      </c>
      <c r="I65" s="12">
        <v>0</v>
      </c>
    </row>
    <row r="66" spans="2:9" ht="15" customHeight="1" x14ac:dyDescent="0.2">
      <c r="B66" t="s">
        <v>220</v>
      </c>
      <c r="C66" s="12">
        <v>8</v>
      </c>
      <c r="D66" s="8">
        <v>1.48</v>
      </c>
      <c r="E66" s="12">
        <v>5</v>
      </c>
      <c r="F66" s="8">
        <v>1.93</v>
      </c>
      <c r="G66" s="12">
        <v>3</v>
      </c>
      <c r="H66" s="8">
        <v>1.08</v>
      </c>
      <c r="I66" s="12">
        <v>0</v>
      </c>
    </row>
    <row r="67" spans="2:9" ht="15" customHeight="1" x14ac:dyDescent="0.2">
      <c r="B67" t="s">
        <v>217</v>
      </c>
      <c r="C67" s="12">
        <v>7</v>
      </c>
      <c r="D67" s="8">
        <v>1.29</v>
      </c>
      <c r="E67" s="12">
        <v>0</v>
      </c>
      <c r="F67" s="8">
        <v>0</v>
      </c>
      <c r="G67" s="12">
        <v>7</v>
      </c>
      <c r="H67" s="8">
        <v>2.52</v>
      </c>
      <c r="I67" s="12">
        <v>0</v>
      </c>
    </row>
    <row r="68" spans="2:9" ht="15" customHeight="1" x14ac:dyDescent="0.2">
      <c r="B68" t="s">
        <v>183</v>
      </c>
      <c r="C68" s="12">
        <v>7</v>
      </c>
      <c r="D68" s="8">
        <v>1.29</v>
      </c>
      <c r="E68" s="12">
        <v>3</v>
      </c>
      <c r="F68" s="8">
        <v>1.1599999999999999</v>
      </c>
      <c r="G68" s="12">
        <v>4</v>
      </c>
      <c r="H68" s="8">
        <v>1.44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605D-796D-479D-898D-DEC28BE49AF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73</v>
      </c>
      <c r="D6" s="8">
        <v>25.17</v>
      </c>
      <c r="E6" s="12">
        <v>29</v>
      </c>
      <c r="F6" s="8">
        <v>18.829999999999998</v>
      </c>
      <c r="G6" s="12">
        <v>44</v>
      </c>
      <c r="H6" s="8">
        <v>32.35</v>
      </c>
      <c r="I6" s="12">
        <v>0</v>
      </c>
    </row>
    <row r="7" spans="2:9" ht="15" customHeight="1" x14ac:dyDescent="0.2">
      <c r="B7" t="s">
        <v>53</v>
      </c>
      <c r="C7" s="12">
        <v>26</v>
      </c>
      <c r="D7" s="8">
        <v>8.9700000000000006</v>
      </c>
      <c r="E7" s="12">
        <v>7</v>
      </c>
      <c r="F7" s="8">
        <v>4.55</v>
      </c>
      <c r="G7" s="12">
        <v>19</v>
      </c>
      <c r="H7" s="8">
        <v>13.97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0.34</v>
      </c>
      <c r="E9" s="12">
        <v>0</v>
      </c>
      <c r="F9" s="8">
        <v>0</v>
      </c>
      <c r="G9" s="12">
        <v>1</v>
      </c>
      <c r="H9" s="8">
        <v>0.74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1.03</v>
      </c>
      <c r="E10" s="12">
        <v>0</v>
      </c>
      <c r="F10" s="8">
        <v>0</v>
      </c>
      <c r="G10" s="12">
        <v>3</v>
      </c>
      <c r="H10" s="8">
        <v>2.21</v>
      </c>
      <c r="I10" s="12">
        <v>0</v>
      </c>
    </row>
    <row r="11" spans="2:9" ht="15" customHeight="1" x14ac:dyDescent="0.2">
      <c r="B11" t="s">
        <v>57</v>
      </c>
      <c r="C11" s="12">
        <v>81</v>
      </c>
      <c r="D11" s="8">
        <v>27.93</v>
      </c>
      <c r="E11" s="12">
        <v>47</v>
      </c>
      <c r="F11" s="8">
        <v>30.52</v>
      </c>
      <c r="G11" s="12">
        <v>34</v>
      </c>
      <c r="H11" s="8">
        <v>25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0.74</v>
      </c>
      <c r="I12" s="12">
        <v>0</v>
      </c>
    </row>
    <row r="13" spans="2:9" ht="15" customHeight="1" x14ac:dyDescent="0.2">
      <c r="B13" t="s">
        <v>59</v>
      </c>
      <c r="C13" s="12">
        <v>12</v>
      </c>
      <c r="D13" s="8">
        <v>4.1399999999999997</v>
      </c>
      <c r="E13" s="12">
        <v>6</v>
      </c>
      <c r="F13" s="8">
        <v>3.9</v>
      </c>
      <c r="G13" s="12">
        <v>6</v>
      </c>
      <c r="H13" s="8">
        <v>4.41</v>
      </c>
      <c r="I13" s="12">
        <v>0</v>
      </c>
    </row>
    <row r="14" spans="2:9" ht="15" customHeight="1" x14ac:dyDescent="0.2">
      <c r="B14" t="s">
        <v>60</v>
      </c>
      <c r="C14" s="12">
        <v>5</v>
      </c>
      <c r="D14" s="8">
        <v>1.72</v>
      </c>
      <c r="E14" s="12">
        <v>2</v>
      </c>
      <c r="F14" s="8">
        <v>1.3</v>
      </c>
      <c r="G14" s="12">
        <v>3</v>
      </c>
      <c r="H14" s="8">
        <v>2.21</v>
      </c>
      <c r="I14" s="12">
        <v>0</v>
      </c>
    </row>
    <row r="15" spans="2:9" ht="15" customHeight="1" x14ac:dyDescent="0.2">
      <c r="B15" t="s">
        <v>61</v>
      </c>
      <c r="C15" s="12">
        <v>15</v>
      </c>
      <c r="D15" s="8">
        <v>5.17</v>
      </c>
      <c r="E15" s="12">
        <v>13</v>
      </c>
      <c r="F15" s="8">
        <v>8.44</v>
      </c>
      <c r="G15" s="12">
        <v>2</v>
      </c>
      <c r="H15" s="8">
        <v>1.47</v>
      </c>
      <c r="I15" s="12">
        <v>0</v>
      </c>
    </row>
    <row r="16" spans="2:9" ht="15" customHeight="1" x14ac:dyDescent="0.2">
      <c r="B16" t="s">
        <v>62</v>
      </c>
      <c r="C16" s="12">
        <v>35</v>
      </c>
      <c r="D16" s="8">
        <v>12.07</v>
      </c>
      <c r="E16" s="12">
        <v>33</v>
      </c>
      <c r="F16" s="8">
        <v>21.43</v>
      </c>
      <c r="G16" s="12">
        <v>2</v>
      </c>
      <c r="H16" s="8">
        <v>1.47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1.38</v>
      </c>
      <c r="E17" s="12">
        <v>3</v>
      </c>
      <c r="F17" s="8">
        <v>1.95</v>
      </c>
      <c r="G17" s="12">
        <v>1</v>
      </c>
      <c r="H17" s="8">
        <v>0.74</v>
      </c>
      <c r="I17" s="12">
        <v>0</v>
      </c>
    </row>
    <row r="18" spans="2:9" ht="15" customHeight="1" x14ac:dyDescent="0.2">
      <c r="B18" t="s">
        <v>64</v>
      </c>
      <c r="C18" s="12">
        <v>13</v>
      </c>
      <c r="D18" s="8">
        <v>4.4800000000000004</v>
      </c>
      <c r="E18" s="12">
        <v>2</v>
      </c>
      <c r="F18" s="8">
        <v>1.3</v>
      </c>
      <c r="G18" s="12">
        <v>11</v>
      </c>
      <c r="H18" s="8">
        <v>8.09</v>
      </c>
      <c r="I18" s="12">
        <v>0</v>
      </c>
    </row>
    <row r="19" spans="2:9" ht="15" customHeight="1" x14ac:dyDescent="0.2">
      <c r="B19" t="s">
        <v>65</v>
      </c>
      <c r="C19" s="12">
        <v>21</v>
      </c>
      <c r="D19" s="8">
        <v>7.24</v>
      </c>
      <c r="E19" s="12">
        <v>12</v>
      </c>
      <c r="F19" s="8">
        <v>7.79</v>
      </c>
      <c r="G19" s="12">
        <v>9</v>
      </c>
      <c r="H19" s="8">
        <v>6.62</v>
      </c>
      <c r="I19" s="12">
        <v>0</v>
      </c>
    </row>
    <row r="20" spans="2:9" ht="15" customHeight="1" x14ac:dyDescent="0.2">
      <c r="B20" s="9" t="s">
        <v>281</v>
      </c>
      <c r="C20" s="12">
        <f>SUM(LTBL_43444[総数／事業所数])</f>
        <v>290</v>
      </c>
      <c r="E20" s="12">
        <f>SUBTOTAL(109,LTBL_43444[個人／事業所数])</f>
        <v>154</v>
      </c>
      <c r="G20" s="12">
        <f>SUBTOTAL(109,LTBL_43444[法人／事業所数])</f>
        <v>136</v>
      </c>
      <c r="I20" s="12">
        <f>SUBTOTAL(109,LTBL_43444[法人以外の団体／事業所数])</f>
        <v>0</v>
      </c>
    </row>
    <row r="21" spans="2:9" ht="15" customHeight="1" x14ac:dyDescent="0.2">
      <c r="E21" s="11">
        <f>LTBL_43444[[#Totals],[個人／事業所数]]/LTBL_43444[[#Totals],[総数／事業所数]]</f>
        <v>0.53103448275862064</v>
      </c>
      <c r="G21" s="11">
        <f>LTBL_43444[[#Totals],[法人／事業所数]]/LTBL_43444[[#Totals],[総数／事業所数]]</f>
        <v>0.4689655172413793</v>
      </c>
      <c r="I21" s="11">
        <f>LTBL_43444[[#Totals],[法人以外の団体／事業所数]]/LTBL_43444[[#Totals],[総数／事業所数]]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31</v>
      </c>
      <c r="D24" s="8">
        <v>10.69</v>
      </c>
      <c r="E24" s="12">
        <v>30</v>
      </c>
      <c r="F24" s="8">
        <v>19.48</v>
      </c>
      <c r="G24" s="12">
        <v>1</v>
      </c>
      <c r="H24" s="8">
        <v>0.74</v>
      </c>
      <c r="I24" s="12">
        <v>0</v>
      </c>
    </row>
    <row r="25" spans="2:9" ht="15" customHeight="1" x14ac:dyDescent="0.2">
      <c r="B25" t="s">
        <v>74</v>
      </c>
      <c r="C25" s="12">
        <v>30</v>
      </c>
      <c r="D25" s="8">
        <v>10.34</v>
      </c>
      <c r="E25" s="12">
        <v>7</v>
      </c>
      <c r="F25" s="8">
        <v>4.55</v>
      </c>
      <c r="G25" s="12">
        <v>23</v>
      </c>
      <c r="H25" s="8">
        <v>16.91</v>
      </c>
      <c r="I25" s="12">
        <v>0</v>
      </c>
    </row>
    <row r="26" spans="2:9" ht="15" customHeight="1" x14ac:dyDescent="0.2">
      <c r="B26" t="s">
        <v>75</v>
      </c>
      <c r="C26" s="12">
        <v>30</v>
      </c>
      <c r="D26" s="8">
        <v>10.34</v>
      </c>
      <c r="E26" s="12">
        <v>16</v>
      </c>
      <c r="F26" s="8">
        <v>10.39</v>
      </c>
      <c r="G26" s="12">
        <v>14</v>
      </c>
      <c r="H26" s="8">
        <v>10.29</v>
      </c>
      <c r="I26" s="12">
        <v>0</v>
      </c>
    </row>
    <row r="27" spans="2:9" ht="15" customHeight="1" x14ac:dyDescent="0.2">
      <c r="B27" t="s">
        <v>83</v>
      </c>
      <c r="C27" s="12">
        <v>28</v>
      </c>
      <c r="D27" s="8">
        <v>9.66</v>
      </c>
      <c r="E27" s="12">
        <v>19</v>
      </c>
      <c r="F27" s="8">
        <v>12.34</v>
      </c>
      <c r="G27" s="12">
        <v>9</v>
      </c>
      <c r="H27" s="8">
        <v>6.62</v>
      </c>
      <c r="I27" s="12">
        <v>0</v>
      </c>
    </row>
    <row r="28" spans="2:9" ht="15" customHeight="1" x14ac:dyDescent="0.2">
      <c r="B28" t="s">
        <v>81</v>
      </c>
      <c r="C28" s="12">
        <v>15</v>
      </c>
      <c r="D28" s="8">
        <v>5.17</v>
      </c>
      <c r="E28" s="12">
        <v>12</v>
      </c>
      <c r="F28" s="8">
        <v>7.79</v>
      </c>
      <c r="G28" s="12">
        <v>3</v>
      </c>
      <c r="H28" s="8">
        <v>2.21</v>
      </c>
      <c r="I28" s="12">
        <v>0</v>
      </c>
    </row>
    <row r="29" spans="2:9" ht="15" customHeight="1" x14ac:dyDescent="0.2">
      <c r="B29" t="s">
        <v>76</v>
      </c>
      <c r="C29" s="12">
        <v>13</v>
      </c>
      <c r="D29" s="8">
        <v>4.4800000000000004</v>
      </c>
      <c r="E29" s="12">
        <v>6</v>
      </c>
      <c r="F29" s="8">
        <v>3.9</v>
      </c>
      <c r="G29" s="12">
        <v>7</v>
      </c>
      <c r="H29" s="8">
        <v>5.15</v>
      </c>
      <c r="I29" s="12">
        <v>0</v>
      </c>
    </row>
    <row r="30" spans="2:9" ht="15" customHeight="1" x14ac:dyDescent="0.2">
      <c r="B30" t="s">
        <v>82</v>
      </c>
      <c r="C30" s="12">
        <v>13</v>
      </c>
      <c r="D30" s="8">
        <v>4.4800000000000004</v>
      </c>
      <c r="E30" s="12">
        <v>10</v>
      </c>
      <c r="F30" s="8">
        <v>6.49</v>
      </c>
      <c r="G30" s="12">
        <v>3</v>
      </c>
      <c r="H30" s="8">
        <v>2.21</v>
      </c>
      <c r="I30" s="12">
        <v>0</v>
      </c>
    </row>
    <row r="31" spans="2:9" ht="15" customHeight="1" x14ac:dyDescent="0.2">
      <c r="B31" t="s">
        <v>88</v>
      </c>
      <c r="C31" s="12">
        <v>13</v>
      </c>
      <c r="D31" s="8">
        <v>4.4800000000000004</v>
      </c>
      <c r="E31" s="12">
        <v>11</v>
      </c>
      <c r="F31" s="8">
        <v>7.14</v>
      </c>
      <c r="G31" s="12">
        <v>2</v>
      </c>
      <c r="H31" s="8">
        <v>1.47</v>
      </c>
      <c r="I31" s="12">
        <v>0</v>
      </c>
    </row>
    <row r="32" spans="2:9" ht="15" customHeight="1" x14ac:dyDescent="0.2">
      <c r="B32" t="s">
        <v>85</v>
      </c>
      <c r="C32" s="12">
        <v>10</v>
      </c>
      <c r="D32" s="8">
        <v>3.45</v>
      </c>
      <c r="E32" s="12">
        <v>6</v>
      </c>
      <c r="F32" s="8">
        <v>3.9</v>
      </c>
      <c r="G32" s="12">
        <v>4</v>
      </c>
      <c r="H32" s="8">
        <v>2.94</v>
      </c>
      <c r="I32" s="12">
        <v>0</v>
      </c>
    </row>
    <row r="33" spans="2:9" ht="15" customHeight="1" x14ac:dyDescent="0.2">
      <c r="B33" t="s">
        <v>92</v>
      </c>
      <c r="C33" s="12">
        <v>10</v>
      </c>
      <c r="D33" s="8">
        <v>3.45</v>
      </c>
      <c r="E33" s="12">
        <v>0</v>
      </c>
      <c r="F33" s="8">
        <v>0</v>
      </c>
      <c r="G33" s="12">
        <v>10</v>
      </c>
      <c r="H33" s="8">
        <v>7.35</v>
      </c>
      <c r="I33" s="12">
        <v>0</v>
      </c>
    </row>
    <row r="34" spans="2:9" ht="15" customHeight="1" x14ac:dyDescent="0.2">
      <c r="B34" t="s">
        <v>93</v>
      </c>
      <c r="C34" s="12">
        <v>10</v>
      </c>
      <c r="D34" s="8">
        <v>3.45</v>
      </c>
      <c r="E34" s="12">
        <v>8</v>
      </c>
      <c r="F34" s="8">
        <v>5.19</v>
      </c>
      <c r="G34" s="12">
        <v>2</v>
      </c>
      <c r="H34" s="8">
        <v>1.47</v>
      </c>
      <c r="I34" s="12">
        <v>0</v>
      </c>
    </row>
    <row r="35" spans="2:9" ht="15" customHeight="1" x14ac:dyDescent="0.2">
      <c r="B35" t="s">
        <v>102</v>
      </c>
      <c r="C35" s="12">
        <v>7</v>
      </c>
      <c r="D35" s="8">
        <v>2.41</v>
      </c>
      <c r="E35" s="12">
        <v>2</v>
      </c>
      <c r="F35" s="8">
        <v>1.3</v>
      </c>
      <c r="G35" s="12">
        <v>5</v>
      </c>
      <c r="H35" s="8">
        <v>3.68</v>
      </c>
      <c r="I35" s="12">
        <v>0</v>
      </c>
    </row>
    <row r="36" spans="2:9" ht="15" customHeight="1" x14ac:dyDescent="0.2">
      <c r="B36" t="s">
        <v>99</v>
      </c>
      <c r="C36" s="12">
        <v>7</v>
      </c>
      <c r="D36" s="8">
        <v>2.41</v>
      </c>
      <c r="E36" s="12">
        <v>2</v>
      </c>
      <c r="F36" s="8">
        <v>1.3</v>
      </c>
      <c r="G36" s="12">
        <v>5</v>
      </c>
      <c r="H36" s="8">
        <v>3.68</v>
      </c>
      <c r="I36" s="12">
        <v>0</v>
      </c>
    </row>
    <row r="37" spans="2:9" ht="15" customHeight="1" x14ac:dyDescent="0.2">
      <c r="B37" t="s">
        <v>78</v>
      </c>
      <c r="C37" s="12">
        <v>6</v>
      </c>
      <c r="D37" s="8">
        <v>2.0699999999999998</v>
      </c>
      <c r="E37" s="12">
        <v>0</v>
      </c>
      <c r="F37" s="8">
        <v>0</v>
      </c>
      <c r="G37" s="12">
        <v>6</v>
      </c>
      <c r="H37" s="8">
        <v>4.41</v>
      </c>
      <c r="I37" s="12">
        <v>0</v>
      </c>
    </row>
    <row r="38" spans="2:9" ht="15" customHeight="1" x14ac:dyDescent="0.2">
      <c r="B38" t="s">
        <v>77</v>
      </c>
      <c r="C38" s="12">
        <v>5</v>
      </c>
      <c r="D38" s="8">
        <v>1.72</v>
      </c>
      <c r="E38" s="12">
        <v>1</v>
      </c>
      <c r="F38" s="8">
        <v>0.65</v>
      </c>
      <c r="G38" s="12">
        <v>4</v>
      </c>
      <c r="H38" s="8">
        <v>2.94</v>
      </c>
      <c r="I38" s="12">
        <v>0</v>
      </c>
    </row>
    <row r="39" spans="2:9" ht="15" customHeight="1" x14ac:dyDescent="0.2">
      <c r="B39" t="s">
        <v>94</v>
      </c>
      <c r="C39" s="12">
        <v>5</v>
      </c>
      <c r="D39" s="8">
        <v>1.72</v>
      </c>
      <c r="E39" s="12">
        <v>3</v>
      </c>
      <c r="F39" s="8">
        <v>1.95</v>
      </c>
      <c r="G39" s="12">
        <v>2</v>
      </c>
      <c r="H39" s="8">
        <v>1.47</v>
      </c>
      <c r="I39" s="12">
        <v>0</v>
      </c>
    </row>
    <row r="40" spans="2:9" ht="15" customHeight="1" x14ac:dyDescent="0.2">
      <c r="B40" t="s">
        <v>87</v>
      </c>
      <c r="C40" s="12">
        <v>5</v>
      </c>
      <c r="D40" s="8">
        <v>1.72</v>
      </c>
      <c r="E40" s="12">
        <v>2</v>
      </c>
      <c r="F40" s="8">
        <v>1.3</v>
      </c>
      <c r="G40" s="12">
        <v>3</v>
      </c>
      <c r="H40" s="8">
        <v>2.21</v>
      </c>
      <c r="I40" s="12">
        <v>0</v>
      </c>
    </row>
    <row r="41" spans="2:9" ht="15" customHeight="1" x14ac:dyDescent="0.2">
      <c r="B41" t="s">
        <v>110</v>
      </c>
      <c r="C41" s="12">
        <v>4</v>
      </c>
      <c r="D41" s="8">
        <v>1.38</v>
      </c>
      <c r="E41" s="12">
        <v>4</v>
      </c>
      <c r="F41" s="8">
        <v>2.6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97</v>
      </c>
      <c r="C42" s="12">
        <v>4</v>
      </c>
      <c r="D42" s="8">
        <v>1.38</v>
      </c>
      <c r="E42" s="12">
        <v>3</v>
      </c>
      <c r="F42" s="8">
        <v>1.95</v>
      </c>
      <c r="G42" s="12">
        <v>1</v>
      </c>
      <c r="H42" s="8">
        <v>0.74</v>
      </c>
      <c r="I42" s="12">
        <v>0</v>
      </c>
    </row>
    <row r="43" spans="2:9" ht="15" customHeight="1" x14ac:dyDescent="0.2">
      <c r="B43" t="s">
        <v>90</v>
      </c>
      <c r="C43" s="12">
        <v>4</v>
      </c>
      <c r="D43" s="8">
        <v>1.38</v>
      </c>
      <c r="E43" s="12">
        <v>3</v>
      </c>
      <c r="F43" s="8">
        <v>1.95</v>
      </c>
      <c r="G43" s="12">
        <v>1</v>
      </c>
      <c r="H43" s="8">
        <v>0.74</v>
      </c>
      <c r="I43" s="12">
        <v>0</v>
      </c>
    </row>
    <row r="44" spans="2:9" ht="15" customHeight="1" x14ac:dyDescent="0.2">
      <c r="B44" t="s">
        <v>126</v>
      </c>
      <c r="C44" s="12">
        <v>4</v>
      </c>
      <c r="D44" s="8">
        <v>1.38</v>
      </c>
      <c r="E44" s="12">
        <v>2</v>
      </c>
      <c r="F44" s="8">
        <v>1.3</v>
      </c>
      <c r="G44" s="12">
        <v>2</v>
      </c>
      <c r="H44" s="8">
        <v>1.47</v>
      </c>
      <c r="I44" s="12">
        <v>0</v>
      </c>
    </row>
    <row r="45" spans="2:9" ht="15" customHeight="1" x14ac:dyDescent="0.2">
      <c r="B45" t="s">
        <v>95</v>
      </c>
      <c r="C45" s="12">
        <v>4</v>
      </c>
      <c r="D45" s="8">
        <v>1.38</v>
      </c>
      <c r="E45" s="12">
        <v>1</v>
      </c>
      <c r="F45" s="8">
        <v>0.65</v>
      </c>
      <c r="G45" s="12">
        <v>3</v>
      </c>
      <c r="H45" s="8">
        <v>2.21</v>
      </c>
      <c r="I45" s="12">
        <v>0</v>
      </c>
    </row>
    <row r="48" spans="2:9" ht="33" customHeight="1" x14ac:dyDescent="0.2">
      <c r="B48" t="s">
        <v>283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151</v>
      </c>
      <c r="C49" s="12">
        <v>14</v>
      </c>
      <c r="D49" s="8">
        <v>4.83</v>
      </c>
      <c r="E49" s="12">
        <v>14</v>
      </c>
      <c r="F49" s="8">
        <v>9.09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150</v>
      </c>
      <c r="C50" s="12">
        <v>12</v>
      </c>
      <c r="D50" s="8">
        <v>4.1399999999999997</v>
      </c>
      <c r="E50" s="12">
        <v>11</v>
      </c>
      <c r="F50" s="8">
        <v>7.14</v>
      </c>
      <c r="G50" s="12">
        <v>1</v>
      </c>
      <c r="H50" s="8">
        <v>0.74</v>
      </c>
      <c r="I50" s="12">
        <v>0</v>
      </c>
    </row>
    <row r="51" spans="2:9" ht="15" customHeight="1" x14ac:dyDescent="0.2">
      <c r="B51" t="s">
        <v>135</v>
      </c>
      <c r="C51" s="12">
        <v>10</v>
      </c>
      <c r="D51" s="8">
        <v>3.45</v>
      </c>
      <c r="E51" s="12">
        <v>3</v>
      </c>
      <c r="F51" s="8">
        <v>1.95</v>
      </c>
      <c r="G51" s="12">
        <v>7</v>
      </c>
      <c r="H51" s="8">
        <v>5.15</v>
      </c>
      <c r="I51" s="12">
        <v>0</v>
      </c>
    </row>
    <row r="52" spans="2:9" ht="15" customHeight="1" x14ac:dyDescent="0.2">
      <c r="B52" t="s">
        <v>154</v>
      </c>
      <c r="C52" s="12">
        <v>10</v>
      </c>
      <c r="D52" s="8">
        <v>3.45</v>
      </c>
      <c r="E52" s="12">
        <v>8</v>
      </c>
      <c r="F52" s="8">
        <v>5.19</v>
      </c>
      <c r="G52" s="12">
        <v>2</v>
      </c>
      <c r="H52" s="8">
        <v>1.47</v>
      </c>
      <c r="I52" s="12">
        <v>0</v>
      </c>
    </row>
    <row r="53" spans="2:9" ht="15" customHeight="1" x14ac:dyDescent="0.2">
      <c r="B53" t="s">
        <v>136</v>
      </c>
      <c r="C53" s="12">
        <v>9</v>
      </c>
      <c r="D53" s="8">
        <v>3.1</v>
      </c>
      <c r="E53" s="12">
        <v>2</v>
      </c>
      <c r="F53" s="8">
        <v>1.3</v>
      </c>
      <c r="G53" s="12">
        <v>7</v>
      </c>
      <c r="H53" s="8">
        <v>5.15</v>
      </c>
      <c r="I53" s="12">
        <v>0</v>
      </c>
    </row>
    <row r="54" spans="2:9" ht="15" customHeight="1" x14ac:dyDescent="0.2">
      <c r="B54" t="s">
        <v>140</v>
      </c>
      <c r="C54" s="12">
        <v>9</v>
      </c>
      <c r="D54" s="8">
        <v>3.1</v>
      </c>
      <c r="E54" s="12">
        <v>6</v>
      </c>
      <c r="F54" s="8">
        <v>3.9</v>
      </c>
      <c r="G54" s="12">
        <v>3</v>
      </c>
      <c r="H54" s="8">
        <v>2.21</v>
      </c>
      <c r="I54" s="12">
        <v>0</v>
      </c>
    </row>
    <row r="55" spans="2:9" ht="15" customHeight="1" x14ac:dyDescent="0.2">
      <c r="B55" t="s">
        <v>162</v>
      </c>
      <c r="C55" s="12">
        <v>7</v>
      </c>
      <c r="D55" s="8">
        <v>2.41</v>
      </c>
      <c r="E55" s="12">
        <v>4</v>
      </c>
      <c r="F55" s="8">
        <v>2.6</v>
      </c>
      <c r="G55" s="12">
        <v>3</v>
      </c>
      <c r="H55" s="8">
        <v>2.21</v>
      </c>
      <c r="I55" s="12">
        <v>0</v>
      </c>
    </row>
    <row r="56" spans="2:9" ht="15" customHeight="1" x14ac:dyDescent="0.2">
      <c r="B56" t="s">
        <v>163</v>
      </c>
      <c r="C56" s="12">
        <v>7</v>
      </c>
      <c r="D56" s="8">
        <v>2.41</v>
      </c>
      <c r="E56" s="12">
        <v>4</v>
      </c>
      <c r="F56" s="8">
        <v>2.6</v>
      </c>
      <c r="G56" s="12">
        <v>3</v>
      </c>
      <c r="H56" s="8">
        <v>2.21</v>
      </c>
      <c r="I56" s="12">
        <v>0</v>
      </c>
    </row>
    <row r="57" spans="2:9" ht="15" customHeight="1" x14ac:dyDescent="0.2">
      <c r="B57" t="s">
        <v>141</v>
      </c>
      <c r="C57" s="12">
        <v>7</v>
      </c>
      <c r="D57" s="8">
        <v>2.41</v>
      </c>
      <c r="E57" s="12">
        <v>5</v>
      </c>
      <c r="F57" s="8">
        <v>3.25</v>
      </c>
      <c r="G57" s="12">
        <v>2</v>
      </c>
      <c r="H57" s="8">
        <v>1.47</v>
      </c>
      <c r="I57" s="12">
        <v>0</v>
      </c>
    </row>
    <row r="58" spans="2:9" ht="15" customHeight="1" x14ac:dyDescent="0.2">
      <c r="B58" t="s">
        <v>143</v>
      </c>
      <c r="C58" s="12">
        <v>7</v>
      </c>
      <c r="D58" s="8">
        <v>2.41</v>
      </c>
      <c r="E58" s="12">
        <v>6</v>
      </c>
      <c r="F58" s="8">
        <v>3.9</v>
      </c>
      <c r="G58" s="12">
        <v>1</v>
      </c>
      <c r="H58" s="8">
        <v>0.74</v>
      </c>
      <c r="I58" s="12">
        <v>0</v>
      </c>
    </row>
    <row r="59" spans="2:9" ht="15" customHeight="1" x14ac:dyDescent="0.2">
      <c r="B59" t="s">
        <v>145</v>
      </c>
      <c r="C59" s="12">
        <v>7</v>
      </c>
      <c r="D59" s="8">
        <v>2.41</v>
      </c>
      <c r="E59" s="12">
        <v>5</v>
      </c>
      <c r="F59" s="8">
        <v>3.25</v>
      </c>
      <c r="G59" s="12">
        <v>2</v>
      </c>
      <c r="H59" s="8">
        <v>1.47</v>
      </c>
      <c r="I59" s="12">
        <v>0</v>
      </c>
    </row>
    <row r="60" spans="2:9" ht="15" customHeight="1" x14ac:dyDescent="0.2">
      <c r="B60" t="s">
        <v>147</v>
      </c>
      <c r="C60" s="12">
        <v>7</v>
      </c>
      <c r="D60" s="8">
        <v>2.41</v>
      </c>
      <c r="E60" s="12">
        <v>5</v>
      </c>
      <c r="F60" s="8">
        <v>3.25</v>
      </c>
      <c r="G60" s="12">
        <v>2</v>
      </c>
      <c r="H60" s="8">
        <v>1.47</v>
      </c>
      <c r="I60" s="12">
        <v>0</v>
      </c>
    </row>
    <row r="61" spans="2:9" ht="15" customHeight="1" x14ac:dyDescent="0.2">
      <c r="B61" t="s">
        <v>137</v>
      </c>
      <c r="C61" s="12">
        <v>6</v>
      </c>
      <c r="D61" s="8">
        <v>2.0699999999999998</v>
      </c>
      <c r="E61" s="12">
        <v>0</v>
      </c>
      <c r="F61" s="8">
        <v>0</v>
      </c>
      <c r="G61" s="12">
        <v>6</v>
      </c>
      <c r="H61" s="8">
        <v>4.41</v>
      </c>
      <c r="I61" s="12">
        <v>0</v>
      </c>
    </row>
    <row r="62" spans="2:9" ht="15" customHeight="1" x14ac:dyDescent="0.2">
      <c r="B62" t="s">
        <v>195</v>
      </c>
      <c r="C62" s="12">
        <v>6</v>
      </c>
      <c r="D62" s="8">
        <v>2.0699999999999998</v>
      </c>
      <c r="E62" s="12">
        <v>2</v>
      </c>
      <c r="F62" s="8">
        <v>1.3</v>
      </c>
      <c r="G62" s="12">
        <v>4</v>
      </c>
      <c r="H62" s="8">
        <v>2.94</v>
      </c>
      <c r="I62" s="12">
        <v>0</v>
      </c>
    </row>
    <row r="63" spans="2:9" ht="15" customHeight="1" x14ac:dyDescent="0.2">
      <c r="B63" t="s">
        <v>235</v>
      </c>
      <c r="C63" s="12">
        <v>5</v>
      </c>
      <c r="D63" s="8">
        <v>1.72</v>
      </c>
      <c r="E63" s="12">
        <v>2</v>
      </c>
      <c r="F63" s="8">
        <v>1.3</v>
      </c>
      <c r="G63" s="12">
        <v>3</v>
      </c>
      <c r="H63" s="8">
        <v>2.21</v>
      </c>
      <c r="I63" s="12">
        <v>0</v>
      </c>
    </row>
    <row r="64" spans="2:9" ht="15" customHeight="1" x14ac:dyDescent="0.2">
      <c r="B64" t="s">
        <v>220</v>
      </c>
      <c r="C64" s="12">
        <v>5</v>
      </c>
      <c r="D64" s="8">
        <v>1.72</v>
      </c>
      <c r="E64" s="12">
        <v>4</v>
      </c>
      <c r="F64" s="8">
        <v>2.6</v>
      </c>
      <c r="G64" s="12">
        <v>1</v>
      </c>
      <c r="H64" s="8">
        <v>0.74</v>
      </c>
      <c r="I64" s="12">
        <v>0</v>
      </c>
    </row>
    <row r="65" spans="2:9" ht="15" customHeight="1" x14ac:dyDescent="0.2">
      <c r="B65" t="s">
        <v>164</v>
      </c>
      <c r="C65" s="12">
        <v>5</v>
      </c>
      <c r="D65" s="8">
        <v>1.72</v>
      </c>
      <c r="E65" s="12">
        <v>0</v>
      </c>
      <c r="F65" s="8">
        <v>0</v>
      </c>
      <c r="G65" s="12">
        <v>5</v>
      </c>
      <c r="H65" s="8">
        <v>3.68</v>
      </c>
      <c r="I65" s="12">
        <v>0</v>
      </c>
    </row>
    <row r="66" spans="2:9" ht="15" customHeight="1" x14ac:dyDescent="0.2">
      <c r="B66" t="s">
        <v>215</v>
      </c>
      <c r="C66" s="12">
        <v>5</v>
      </c>
      <c r="D66" s="8">
        <v>1.72</v>
      </c>
      <c r="E66" s="12">
        <v>1</v>
      </c>
      <c r="F66" s="8">
        <v>0.65</v>
      </c>
      <c r="G66" s="12">
        <v>4</v>
      </c>
      <c r="H66" s="8">
        <v>2.94</v>
      </c>
      <c r="I66" s="12">
        <v>0</v>
      </c>
    </row>
    <row r="67" spans="2:9" ht="15" customHeight="1" x14ac:dyDescent="0.2">
      <c r="B67" t="s">
        <v>200</v>
      </c>
      <c r="C67" s="12">
        <v>5</v>
      </c>
      <c r="D67" s="8">
        <v>1.72</v>
      </c>
      <c r="E67" s="12">
        <v>3</v>
      </c>
      <c r="F67" s="8">
        <v>1.95</v>
      </c>
      <c r="G67" s="12">
        <v>2</v>
      </c>
      <c r="H67" s="8">
        <v>1.47</v>
      </c>
      <c r="I67" s="12">
        <v>0</v>
      </c>
    </row>
    <row r="68" spans="2:9" ht="15" customHeight="1" x14ac:dyDescent="0.2">
      <c r="B68" t="s">
        <v>167</v>
      </c>
      <c r="C68" s="12">
        <v>5</v>
      </c>
      <c r="D68" s="8">
        <v>1.72</v>
      </c>
      <c r="E68" s="12">
        <v>4</v>
      </c>
      <c r="F68" s="8">
        <v>2.6</v>
      </c>
      <c r="G68" s="12">
        <v>1</v>
      </c>
      <c r="H68" s="8">
        <v>0.74</v>
      </c>
      <c r="I68" s="12">
        <v>0</v>
      </c>
    </row>
    <row r="69" spans="2:9" ht="15" customHeight="1" x14ac:dyDescent="0.2">
      <c r="B69" t="s">
        <v>168</v>
      </c>
      <c r="C69" s="12">
        <v>5</v>
      </c>
      <c r="D69" s="8">
        <v>1.72</v>
      </c>
      <c r="E69" s="12">
        <v>2</v>
      </c>
      <c r="F69" s="8">
        <v>1.3</v>
      </c>
      <c r="G69" s="12">
        <v>3</v>
      </c>
      <c r="H69" s="8">
        <v>2.21</v>
      </c>
      <c r="I69" s="12">
        <v>0</v>
      </c>
    </row>
    <row r="70" spans="2:9" ht="15" customHeight="1" x14ac:dyDescent="0.2">
      <c r="B70" t="s">
        <v>176</v>
      </c>
      <c r="C70" s="12">
        <v>5</v>
      </c>
      <c r="D70" s="8">
        <v>1.72</v>
      </c>
      <c r="E70" s="12">
        <v>0</v>
      </c>
      <c r="F70" s="8">
        <v>0</v>
      </c>
      <c r="G70" s="12">
        <v>5</v>
      </c>
      <c r="H70" s="8">
        <v>3.68</v>
      </c>
      <c r="I70" s="12">
        <v>0</v>
      </c>
    </row>
    <row r="72" spans="2:9" ht="15" customHeight="1" x14ac:dyDescent="0.2">
      <c r="B72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EDDA-390E-4DC9-8509-354E2B9D495A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0.25</v>
      </c>
      <c r="E5" s="12">
        <v>0</v>
      </c>
      <c r="F5" s="8">
        <v>0</v>
      </c>
      <c r="G5" s="12">
        <v>1</v>
      </c>
      <c r="H5" s="8">
        <v>0.66</v>
      </c>
      <c r="I5" s="12">
        <v>0</v>
      </c>
    </row>
    <row r="6" spans="2:9" ht="15" customHeight="1" x14ac:dyDescent="0.2">
      <c r="B6" t="s">
        <v>52</v>
      </c>
      <c r="C6" s="12">
        <v>48</v>
      </c>
      <c r="D6" s="8">
        <v>12.09</v>
      </c>
      <c r="E6" s="12">
        <v>21</v>
      </c>
      <c r="F6" s="8">
        <v>8.9</v>
      </c>
      <c r="G6" s="12">
        <v>27</v>
      </c>
      <c r="H6" s="8">
        <v>17.760000000000002</v>
      </c>
      <c r="I6" s="12">
        <v>0</v>
      </c>
    </row>
    <row r="7" spans="2:9" ht="15" customHeight="1" x14ac:dyDescent="0.2">
      <c r="B7" t="s">
        <v>53</v>
      </c>
      <c r="C7" s="12">
        <v>23</v>
      </c>
      <c r="D7" s="8">
        <v>5.79</v>
      </c>
      <c r="E7" s="12">
        <v>8</v>
      </c>
      <c r="F7" s="8">
        <v>3.39</v>
      </c>
      <c r="G7" s="12">
        <v>14</v>
      </c>
      <c r="H7" s="8">
        <v>9.2100000000000009</v>
      </c>
      <c r="I7" s="12">
        <v>1</v>
      </c>
    </row>
    <row r="8" spans="2:9" ht="15" customHeight="1" x14ac:dyDescent="0.2">
      <c r="B8" t="s">
        <v>54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0.66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0.25</v>
      </c>
      <c r="E9" s="12">
        <v>0</v>
      </c>
      <c r="F9" s="8">
        <v>0</v>
      </c>
      <c r="G9" s="12">
        <v>1</v>
      </c>
      <c r="H9" s="8">
        <v>0.66</v>
      </c>
      <c r="I9" s="12">
        <v>0</v>
      </c>
    </row>
    <row r="10" spans="2:9" ht="15" customHeight="1" x14ac:dyDescent="0.2">
      <c r="B10" t="s">
        <v>56</v>
      </c>
      <c r="C10" s="12">
        <v>6</v>
      </c>
      <c r="D10" s="8">
        <v>1.51</v>
      </c>
      <c r="E10" s="12">
        <v>0</v>
      </c>
      <c r="F10" s="8">
        <v>0</v>
      </c>
      <c r="G10" s="12">
        <v>6</v>
      </c>
      <c r="H10" s="8">
        <v>3.95</v>
      </c>
      <c r="I10" s="12">
        <v>0</v>
      </c>
    </row>
    <row r="11" spans="2:9" ht="15" customHeight="1" x14ac:dyDescent="0.2">
      <c r="B11" t="s">
        <v>57</v>
      </c>
      <c r="C11" s="12">
        <v>121</v>
      </c>
      <c r="D11" s="8">
        <v>30.48</v>
      </c>
      <c r="E11" s="12">
        <v>71</v>
      </c>
      <c r="F11" s="8">
        <v>30.08</v>
      </c>
      <c r="G11" s="12">
        <v>49</v>
      </c>
      <c r="H11" s="8">
        <v>32.24</v>
      </c>
      <c r="I11" s="12">
        <v>1</v>
      </c>
    </row>
    <row r="12" spans="2:9" ht="15" customHeight="1" x14ac:dyDescent="0.2">
      <c r="B12" t="s">
        <v>58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0.66</v>
      </c>
      <c r="I12" s="12">
        <v>0</v>
      </c>
    </row>
    <row r="13" spans="2:9" ht="15" customHeight="1" x14ac:dyDescent="0.2">
      <c r="B13" t="s">
        <v>59</v>
      </c>
      <c r="C13" s="12">
        <v>18</v>
      </c>
      <c r="D13" s="8">
        <v>4.53</v>
      </c>
      <c r="E13" s="12">
        <v>11</v>
      </c>
      <c r="F13" s="8">
        <v>4.66</v>
      </c>
      <c r="G13" s="12">
        <v>7</v>
      </c>
      <c r="H13" s="8">
        <v>4.6100000000000003</v>
      </c>
      <c r="I13" s="12">
        <v>0</v>
      </c>
    </row>
    <row r="14" spans="2:9" ht="15" customHeight="1" x14ac:dyDescent="0.2">
      <c r="B14" t="s">
        <v>60</v>
      </c>
      <c r="C14" s="12">
        <v>20</v>
      </c>
      <c r="D14" s="8">
        <v>5.04</v>
      </c>
      <c r="E14" s="12">
        <v>13</v>
      </c>
      <c r="F14" s="8">
        <v>5.51</v>
      </c>
      <c r="G14" s="12">
        <v>7</v>
      </c>
      <c r="H14" s="8">
        <v>4.6100000000000003</v>
      </c>
      <c r="I14" s="12">
        <v>0</v>
      </c>
    </row>
    <row r="15" spans="2:9" ht="15" customHeight="1" x14ac:dyDescent="0.2">
      <c r="B15" t="s">
        <v>61</v>
      </c>
      <c r="C15" s="12">
        <v>70</v>
      </c>
      <c r="D15" s="8">
        <v>17.63</v>
      </c>
      <c r="E15" s="12">
        <v>58</v>
      </c>
      <c r="F15" s="8">
        <v>24.58</v>
      </c>
      <c r="G15" s="12">
        <v>10</v>
      </c>
      <c r="H15" s="8">
        <v>6.58</v>
      </c>
      <c r="I15" s="12">
        <v>2</v>
      </c>
    </row>
    <row r="16" spans="2:9" ht="15" customHeight="1" x14ac:dyDescent="0.2">
      <c r="B16" t="s">
        <v>62</v>
      </c>
      <c r="C16" s="12">
        <v>45</v>
      </c>
      <c r="D16" s="8">
        <v>11.34</v>
      </c>
      <c r="E16" s="12">
        <v>38</v>
      </c>
      <c r="F16" s="8">
        <v>16.100000000000001</v>
      </c>
      <c r="G16" s="12">
        <v>7</v>
      </c>
      <c r="H16" s="8">
        <v>4.6100000000000003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1.01</v>
      </c>
      <c r="E17" s="12">
        <v>3</v>
      </c>
      <c r="F17" s="8">
        <v>1.27</v>
      </c>
      <c r="G17" s="12">
        <v>1</v>
      </c>
      <c r="H17" s="8">
        <v>0.66</v>
      </c>
      <c r="I17" s="12">
        <v>0</v>
      </c>
    </row>
    <row r="18" spans="2:9" ht="15" customHeight="1" x14ac:dyDescent="0.2">
      <c r="B18" t="s">
        <v>64</v>
      </c>
      <c r="C18" s="12">
        <v>20</v>
      </c>
      <c r="D18" s="8">
        <v>5.04</v>
      </c>
      <c r="E18" s="12">
        <v>3</v>
      </c>
      <c r="F18" s="8">
        <v>1.27</v>
      </c>
      <c r="G18" s="12">
        <v>12</v>
      </c>
      <c r="H18" s="8">
        <v>7.89</v>
      </c>
      <c r="I18" s="12">
        <v>1</v>
      </c>
    </row>
    <row r="19" spans="2:9" ht="15" customHeight="1" x14ac:dyDescent="0.2">
      <c r="B19" t="s">
        <v>65</v>
      </c>
      <c r="C19" s="12">
        <v>18</v>
      </c>
      <c r="D19" s="8">
        <v>4.53</v>
      </c>
      <c r="E19" s="12">
        <v>10</v>
      </c>
      <c r="F19" s="8">
        <v>4.24</v>
      </c>
      <c r="G19" s="12">
        <v>8</v>
      </c>
      <c r="H19" s="8">
        <v>5.26</v>
      </c>
      <c r="I19" s="12">
        <v>0</v>
      </c>
    </row>
    <row r="20" spans="2:9" ht="15" customHeight="1" x14ac:dyDescent="0.2">
      <c r="B20" s="9" t="s">
        <v>281</v>
      </c>
      <c r="C20" s="12">
        <f>SUM(LTBL_43447[総数／事業所数])</f>
        <v>397</v>
      </c>
      <c r="E20" s="12">
        <f>SUBTOTAL(109,LTBL_43447[個人／事業所数])</f>
        <v>236</v>
      </c>
      <c r="G20" s="12">
        <f>SUBTOTAL(109,LTBL_43447[法人／事業所数])</f>
        <v>152</v>
      </c>
      <c r="I20" s="12">
        <f>SUBTOTAL(109,LTBL_43447[法人以外の団体／事業所数])</f>
        <v>5</v>
      </c>
    </row>
    <row r="21" spans="2:9" ht="15" customHeight="1" x14ac:dyDescent="0.2">
      <c r="E21" s="11">
        <f>LTBL_43447[[#Totals],[個人／事業所数]]/LTBL_43447[[#Totals],[総数／事業所数]]</f>
        <v>0.59445843828715361</v>
      </c>
      <c r="G21" s="11">
        <f>LTBL_43447[[#Totals],[法人／事業所数]]/LTBL_43447[[#Totals],[総数／事業所数]]</f>
        <v>0.38287153652392947</v>
      </c>
      <c r="I21" s="11">
        <f>LTBL_43447[[#Totals],[法人以外の団体／事業所数]]/LTBL_43447[[#Totals],[総数／事業所数]]</f>
        <v>1.2594458438287154E-2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64</v>
      </c>
      <c r="D24" s="8">
        <v>16.12</v>
      </c>
      <c r="E24" s="12">
        <v>55</v>
      </c>
      <c r="F24" s="8">
        <v>23.31</v>
      </c>
      <c r="G24" s="12">
        <v>8</v>
      </c>
      <c r="H24" s="8">
        <v>5.26</v>
      </c>
      <c r="I24" s="12">
        <v>1</v>
      </c>
    </row>
    <row r="25" spans="2:9" ht="15" customHeight="1" x14ac:dyDescent="0.2">
      <c r="B25" t="s">
        <v>81</v>
      </c>
      <c r="C25" s="12">
        <v>44</v>
      </c>
      <c r="D25" s="8">
        <v>11.08</v>
      </c>
      <c r="E25" s="12">
        <v>33</v>
      </c>
      <c r="F25" s="8">
        <v>13.98</v>
      </c>
      <c r="G25" s="12">
        <v>10</v>
      </c>
      <c r="H25" s="8">
        <v>6.58</v>
      </c>
      <c r="I25" s="12">
        <v>1</v>
      </c>
    </row>
    <row r="26" spans="2:9" ht="15" customHeight="1" x14ac:dyDescent="0.2">
      <c r="B26" t="s">
        <v>89</v>
      </c>
      <c r="C26" s="12">
        <v>38</v>
      </c>
      <c r="D26" s="8">
        <v>9.57</v>
      </c>
      <c r="E26" s="12">
        <v>36</v>
      </c>
      <c r="F26" s="8">
        <v>15.25</v>
      </c>
      <c r="G26" s="12">
        <v>2</v>
      </c>
      <c r="H26" s="8">
        <v>1.32</v>
      </c>
      <c r="I26" s="12">
        <v>0</v>
      </c>
    </row>
    <row r="27" spans="2:9" ht="15" customHeight="1" x14ac:dyDescent="0.2">
      <c r="B27" t="s">
        <v>83</v>
      </c>
      <c r="C27" s="12">
        <v>36</v>
      </c>
      <c r="D27" s="8">
        <v>9.07</v>
      </c>
      <c r="E27" s="12">
        <v>15</v>
      </c>
      <c r="F27" s="8">
        <v>6.36</v>
      </c>
      <c r="G27" s="12">
        <v>21</v>
      </c>
      <c r="H27" s="8">
        <v>13.82</v>
      </c>
      <c r="I27" s="12">
        <v>0</v>
      </c>
    </row>
    <row r="28" spans="2:9" ht="15" customHeight="1" x14ac:dyDescent="0.2">
      <c r="B28" t="s">
        <v>74</v>
      </c>
      <c r="C28" s="12">
        <v>28</v>
      </c>
      <c r="D28" s="8">
        <v>7.05</v>
      </c>
      <c r="E28" s="12">
        <v>10</v>
      </c>
      <c r="F28" s="8">
        <v>4.24</v>
      </c>
      <c r="G28" s="12">
        <v>18</v>
      </c>
      <c r="H28" s="8">
        <v>11.84</v>
      </c>
      <c r="I28" s="12">
        <v>0</v>
      </c>
    </row>
    <row r="29" spans="2:9" ht="15" customHeight="1" x14ac:dyDescent="0.2">
      <c r="B29" t="s">
        <v>82</v>
      </c>
      <c r="C29" s="12">
        <v>17</v>
      </c>
      <c r="D29" s="8">
        <v>4.28</v>
      </c>
      <c r="E29" s="12">
        <v>10</v>
      </c>
      <c r="F29" s="8">
        <v>4.24</v>
      </c>
      <c r="G29" s="12">
        <v>7</v>
      </c>
      <c r="H29" s="8">
        <v>4.6100000000000003</v>
      </c>
      <c r="I29" s="12">
        <v>0</v>
      </c>
    </row>
    <row r="30" spans="2:9" ht="15" customHeight="1" x14ac:dyDescent="0.2">
      <c r="B30" t="s">
        <v>92</v>
      </c>
      <c r="C30" s="12">
        <v>16</v>
      </c>
      <c r="D30" s="8">
        <v>4.03</v>
      </c>
      <c r="E30" s="12">
        <v>0</v>
      </c>
      <c r="F30" s="8">
        <v>0</v>
      </c>
      <c r="G30" s="12">
        <v>12</v>
      </c>
      <c r="H30" s="8">
        <v>7.89</v>
      </c>
      <c r="I30" s="12">
        <v>1</v>
      </c>
    </row>
    <row r="31" spans="2:9" ht="15" customHeight="1" x14ac:dyDescent="0.2">
      <c r="B31" t="s">
        <v>85</v>
      </c>
      <c r="C31" s="12">
        <v>15</v>
      </c>
      <c r="D31" s="8">
        <v>3.78</v>
      </c>
      <c r="E31" s="12">
        <v>11</v>
      </c>
      <c r="F31" s="8">
        <v>4.66</v>
      </c>
      <c r="G31" s="12">
        <v>4</v>
      </c>
      <c r="H31" s="8">
        <v>2.63</v>
      </c>
      <c r="I31" s="12">
        <v>0</v>
      </c>
    </row>
    <row r="32" spans="2:9" ht="15" customHeight="1" x14ac:dyDescent="0.2">
      <c r="B32" t="s">
        <v>75</v>
      </c>
      <c r="C32" s="12">
        <v>12</v>
      </c>
      <c r="D32" s="8">
        <v>3.02</v>
      </c>
      <c r="E32" s="12">
        <v>5</v>
      </c>
      <c r="F32" s="8">
        <v>2.12</v>
      </c>
      <c r="G32" s="12">
        <v>7</v>
      </c>
      <c r="H32" s="8">
        <v>4.6100000000000003</v>
      </c>
      <c r="I32" s="12">
        <v>0</v>
      </c>
    </row>
    <row r="33" spans="2:9" ht="15" customHeight="1" x14ac:dyDescent="0.2">
      <c r="B33" t="s">
        <v>77</v>
      </c>
      <c r="C33" s="12">
        <v>10</v>
      </c>
      <c r="D33" s="8">
        <v>2.52</v>
      </c>
      <c r="E33" s="12">
        <v>2</v>
      </c>
      <c r="F33" s="8">
        <v>0.85</v>
      </c>
      <c r="G33" s="12">
        <v>7</v>
      </c>
      <c r="H33" s="8">
        <v>4.6100000000000003</v>
      </c>
      <c r="I33" s="12">
        <v>1</v>
      </c>
    </row>
    <row r="34" spans="2:9" ht="15" customHeight="1" x14ac:dyDescent="0.2">
      <c r="B34" t="s">
        <v>86</v>
      </c>
      <c r="C34" s="12">
        <v>10</v>
      </c>
      <c r="D34" s="8">
        <v>2.52</v>
      </c>
      <c r="E34" s="12">
        <v>9</v>
      </c>
      <c r="F34" s="8">
        <v>3.81</v>
      </c>
      <c r="G34" s="12">
        <v>1</v>
      </c>
      <c r="H34" s="8">
        <v>0.66</v>
      </c>
      <c r="I34" s="12">
        <v>0</v>
      </c>
    </row>
    <row r="35" spans="2:9" ht="15" customHeight="1" x14ac:dyDescent="0.2">
      <c r="B35" t="s">
        <v>87</v>
      </c>
      <c r="C35" s="12">
        <v>10</v>
      </c>
      <c r="D35" s="8">
        <v>2.52</v>
      </c>
      <c r="E35" s="12">
        <v>4</v>
      </c>
      <c r="F35" s="8">
        <v>1.69</v>
      </c>
      <c r="G35" s="12">
        <v>6</v>
      </c>
      <c r="H35" s="8">
        <v>3.95</v>
      </c>
      <c r="I35" s="12">
        <v>0</v>
      </c>
    </row>
    <row r="36" spans="2:9" ht="15" customHeight="1" x14ac:dyDescent="0.2">
      <c r="B36" t="s">
        <v>76</v>
      </c>
      <c r="C36" s="12">
        <v>8</v>
      </c>
      <c r="D36" s="8">
        <v>2.02</v>
      </c>
      <c r="E36" s="12">
        <v>6</v>
      </c>
      <c r="F36" s="8">
        <v>2.54</v>
      </c>
      <c r="G36" s="12">
        <v>2</v>
      </c>
      <c r="H36" s="8">
        <v>1.32</v>
      </c>
      <c r="I36" s="12">
        <v>0</v>
      </c>
    </row>
    <row r="37" spans="2:9" ht="15" customHeight="1" x14ac:dyDescent="0.2">
      <c r="B37" t="s">
        <v>78</v>
      </c>
      <c r="C37" s="12">
        <v>8</v>
      </c>
      <c r="D37" s="8">
        <v>2.02</v>
      </c>
      <c r="E37" s="12">
        <v>3</v>
      </c>
      <c r="F37" s="8">
        <v>1.27</v>
      </c>
      <c r="G37" s="12">
        <v>5</v>
      </c>
      <c r="H37" s="8">
        <v>3.29</v>
      </c>
      <c r="I37" s="12">
        <v>0</v>
      </c>
    </row>
    <row r="38" spans="2:9" ht="15" customHeight="1" x14ac:dyDescent="0.2">
      <c r="B38" t="s">
        <v>99</v>
      </c>
      <c r="C38" s="12">
        <v>8</v>
      </c>
      <c r="D38" s="8">
        <v>2.02</v>
      </c>
      <c r="E38" s="12">
        <v>4</v>
      </c>
      <c r="F38" s="8">
        <v>1.69</v>
      </c>
      <c r="G38" s="12">
        <v>4</v>
      </c>
      <c r="H38" s="8">
        <v>2.63</v>
      </c>
      <c r="I38" s="12">
        <v>0</v>
      </c>
    </row>
    <row r="39" spans="2:9" ht="15" customHeight="1" x14ac:dyDescent="0.2">
      <c r="B39" t="s">
        <v>93</v>
      </c>
      <c r="C39" s="12">
        <v>8</v>
      </c>
      <c r="D39" s="8">
        <v>2.02</v>
      </c>
      <c r="E39" s="12">
        <v>5</v>
      </c>
      <c r="F39" s="8">
        <v>2.12</v>
      </c>
      <c r="G39" s="12">
        <v>3</v>
      </c>
      <c r="H39" s="8">
        <v>1.97</v>
      </c>
      <c r="I39" s="12">
        <v>0</v>
      </c>
    </row>
    <row r="40" spans="2:9" ht="15" customHeight="1" x14ac:dyDescent="0.2">
      <c r="B40" t="s">
        <v>106</v>
      </c>
      <c r="C40" s="12">
        <v>6</v>
      </c>
      <c r="D40" s="8">
        <v>1.51</v>
      </c>
      <c r="E40" s="12">
        <v>3</v>
      </c>
      <c r="F40" s="8">
        <v>1.27</v>
      </c>
      <c r="G40" s="12">
        <v>2</v>
      </c>
      <c r="H40" s="8">
        <v>1.32</v>
      </c>
      <c r="I40" s="12">
        <v>1</v>
      </c>
    </row>
    <row r="41" spans="2:9" ht="15" customHeight="1" x14ac:dyDescent="0.2">
      <c r="B41" t="s">
        <v>97</v>
      </c>
      <c r="C41" s="12">
        <v>5</v>
      </c>
      <c r="D41" s="8">
        <v>1.26</v>
      </c>
      <c r="E41" s="12">
        <v>0</v>
      </c>
      <c r="F41" s="8">
        <v>0</v>
      </c>
      <c r="G41" s="12">
        <v>5</v>
      </c>
      <c r="H41" s="8">
        <v>3.29</v>
      </c>
      <c r="I41" s="12">
        <v>0</v>
      </c>
    </row>
    <row r="42" spans="2:9" ht="15" customHeight="1" x14ac:dyDescent="0.2">
      <c r="B42" t="s">
        <v>109</v>
      </c>
      <c r="C42" s="12">
        <v>4</v>
      </c>
      <c r="D42" s="8">
        <v>1.01</v>
      </c>
      <c r="E42" s="12">
        <v>0</v>
      </c>
      <c r="F42" s="8">
        <v>0</v>
      </c>
      <c r="G42" s="12">
        <v>4</v>
      </c>
      <c r="H42" s="8">
        <v>2.63</v>
      </c>
      <c r="I42" s="12">
        <v>0</v>
      </c>
    </row>
    <row r="43" spans="2:9" ht="15" customHeight="1" x14ac:dyDescent="0.2">
      <c r="B43" t="s">
        <v>127</v>
      </c>
      <c r="C43" s="12">
        <v>4</v>
      </c>
      <c r="D43" s="8">
        <v>1.01</v>
      </c>
      <c r="E43" s="12">
        <v>0</v>
      </c>
      <c r="F43" s="8">
        <v>0</v>
      </c>
      <c r="G43" s="12">
        <v>4</v>
      </c>
      <c r="H43" s="8">
        <v>2.63</v>
      </c>
      <c r="I43" s="12">
        <v>0</v>
      </c>
    </row>
    <row r="44" spans="2:9" ht="15" customHeight="1" x14ac:dyDescent="0.2">
      <c r="B44" t="s">
        <v>90</v>
      </c>
      <c r="C44" s="12">
        <v>4</v>
      </c>
      <c r="D44" s="8">
        <v>1.01</v>
      </c>
      <c r="E44" s="12">
        <v>3</v>
      </c>
      <c r="F44" s="8">
        <v>1.27</v>
      </c>
      <c r="G44" s="12">
        <v>1</v>
      </c>
      <c r="H44" s="8">
        <v>0.66</v>
      </c>
      <c r="I44" s="12">
        <v>0</v>
      </c>
    </row>
    <row r="45" spans="2:9" ht="15" customHeight="1" x14ac:dyDescent="0.2">
      <c r="B45" t="s">
        <v>91</v>
      </c>
      <c r="C45" s="12">
        <v>4</v>
      </c>
      <c r="D45" s="8">
        <v>1.01</v>
      </c>
      <c r="E45" s="12">
        <v>3</v>
      </c>
      <c r="F45" s="8">
        <v>1.27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283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140</v>
      </c>
      <c r="C49" s="12">
        <v>21</v>
      </c>
      <c r="D49" s="8">
        <v>5.29</v>
      </c>
      <c r="E49" s="12">
        <v>15</v>
      </c>
      <c r="F49" s="8">
        <v>6.36</v>
      </c>
      <c r="G49" s="12">
        <v>5</v>
      </c>
      <c r="H49" s="8">
        <v>3.29</v>
      </c>
      <c r="I49" s="12">
        <v>1</v>
      </c>
    </row>
    <row r="50" spans="2:9" ht="15" customHeight="1" x14ac:dyDescent="0.2">
      <c r="B50" t="s">
        <v>150</v>
      </c>
      <c r="C50" s="12">
        <v>19</v>
      </c>
      <c r="D50" s="8">
        <v>4.79</v>
      </c>
      <c r="E50" s="12">
        <v>19</v>
      </c>
      <c r="F50" s="8">
        <v>8.0500000000000007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148</v>
      </c>
      <c r="C51" s="12">
        <v>17</v>
      </c>
      <c r="D51" s="8">
        <v>4.28</v>
      </c>
      <c r="E51" s="12">
        <v>15</v>
      </c>
      <c r="F51" s="8">
        <v>6.36</v>
      </c>
      <c r="G51" s="12">
        <v>2</v>
      </c>
      <c r="H51" s="8">
        <v>1.32</v>
      </c>
      <c r="I51" s="12">
        <v>0</v>
      </c>
    </row>
    <row r="52" spans="2:9" ht="15" customHeight="1" x14ac:dyDescent="0.2">
      <c r="B52" t="s">
        <v>147</v>
      </c>
      <c r="C52" s="12">
        <v>16</v>
      </c>
      <c r="D52" s="8">
        <v>4.03</v>
      </c>
      <c r="E52" s="12">
        <v>15</v>
      </c>
      <c r="F52" s="8">
        <v>6.36</v>
      </c>
      <c r="G52" s="12">
        <v>1</v>
      </c>
      <c r="H52" s="8">
        <v>0.66</v>
      </c>
      <c r="I52" s="12">
        <v>0</v>
      </c>
    </row>
    <row r="53" spans="2:9" ht="15" customHeight="1" x14ac:dyDescent="0.2">
      <c r="B53" t="s">
        <v>151</v>
      </c>
      <c r="C53" s="12">
        <v>16</v>
      </c>
      <c r="D53" s="8">
        <v>4.03</v>
      </c>
      <c r="E53" s="12">
        <v>15</v>
      </c>
      <c r="F53" s="8">
        <v>6.36</v>
      </c>
      <c r="G53" s="12">
        <v>1</v>
      </c>
      <c r="H53" s="8">
        <v>0.66</v>
      </c>
      <c r="I53" s="12">
        <v>0</v>
      </c>
    </row>
    <row r="54" spans="2:9" ht="15" customHeight="1" x14ac:dyDescent="0.2">
      <c r="B54" t="s">
        <v>135</v>
      </c>
      <c r="C54" s="12">
        <v>13</v>
      </c>
      <c r="D54" s="8">
        <v>3.27</v>
      </c>
      <c r="E54" s="12">
        <v>5</v>
      </c>
      <c r="F54" s="8">
        <v>2.12</v>
      </c>
      <c r="G54" s="12">
        <v>8</v>
      </c>
      <c r="H54" s="8">
        <v>5.26</v>
      </c>
      <c r="I54" s="12">
        <v>0</v>
      </c>
    </row>
    <row r="55" spans="2:9" ht="15" customHeight="1" x14ac:dyDescent="0.2">
      <c r="B55" t="s">
        <v>145</v>
      </c>
      <c r="C55" s="12">
        <v>13</v>
      </c>
      <c r="D55" s="8">
        <v>3.27</v>
      </c>
      <c r="E55" s="12">
        <v>11</v>
      </c>
      <c r="F55" s="8">
        <v>4.66</v>
      </c>
      <c r="G55" s="12">
        <v>2</v>
      </c>
      <c r="H55" s="8">
        <v>1.32</v>
      </c>
      <c r="I55" s="12">
        <v>0</v>
      </c>
    </row>
    <row r="56" spans="2:9" ht="15" customHeight="1" x14ac:dyDescent="0.2">
      <c r="B56" t="s">
        <v>141</v>
      </c>
      <c r="C56" s="12">
        <v>12</v>
      </c>
      <c r="D56" s="8">
        <v>3.02</v>
      </c>
      <c r="E56" s="12">
        <v>6</v>
      </c>
      <c r="F56" s="8">
        <v>2.54</v>
      </c>
      <c r="G56" s="12">
        <v>6</v>
      </c>
      <c r="H56" s="8">
        <v>3.95</v>
      </c>
      <c r="I56" s="12">
        <v>0</v>
      </c>
    </row>
    <row r="57" spans="2:9" ht="15" customHeight="1" x14ac:dyDescent="0.2">
      <c r="B57" t="s">
        <v>170</v>
      </c>
      <c r="C57" s="12">
        <v>11</v>
      </c>
      <c r="D57" s="8">
        <v>2.77</v>
      </c>
      <c r="E57" s="12">
        <v>8</v>
      </c>
      <c r="F57" s="8">
        <v>3.39</v>
      </c>
      <c r="G57" s="12">
        <v>2</v>
      </c>
      <c r="H57" s="8">
        <v>1.32</v>
      </c>
      <c r="I57" s="12">
        <v>1</v>
      </c>
    </row>
    <row r="58" spans="2:9" ht="15" customHeight="1" x14ac:dyDescent="0.2">
      <c r="B58" t="s">
        <v>149</v>
      </c>
      <c r="C58" s="12">
        <v>11</v>
      </c>
      <c r="D58" s="8">
        <v>2.77</v>
      </c>
      <c r="E58" s="12">
        <v>10</v>
      </c>
      <c r="F58" s="8">
        <v>4.24</v>
      </c>
      <c r="G58" s="12">
        <v>1</v>
      </c>
      <c r="H58" s="8">
        <v>0.66</v>
      </c>
      <c r="I58" s="12">
        <v>0</v>
      </c>
    </row>
    <row r="59" spans="2:9" ht="15" customHeight="1" x14ac:dyDescent="0.2">
      <c r="B59" t="s">
        <v>168</v>
      </c>
      <c r="C59" s="12">
        <v>10</v>
      </c>
      <c r="D59" s="8">
        <v>2.52</v>
      </c>
      <c r="E59" s="12">
        <v>0</v>
      </c>
      <c r="F59" s="8">
        <v>0</v>
      </c>
      <c r="G59" s="12">
        <v>10</v>
      </c>
      <c r="H59" s="8">
        <v>6.58</v>
      </c>
      <c r="I59" s="12">
        <v>0</v>
      </c>
    </row>
    <row r="60" spans="2:9" ht="15" customHeight="1" x14ac:dyDescent="0.2">
      <c r="B60" t="s">
        <v>143</v>
      </c>
      <c r="C60" s="12">
        <v>9</v>
      </c>
      <c r="D60" s="8">
        <v>2.27</v>
      </c>
      <c r="E60" s="12">
        <v>6</v>
      </c>
      <c r="F60" s="8">
        <v>2.54</v>
      </c>
      <c r="G60" s="12">
        <v>3</v>
      </c>
      <c r="H60" s="8">
        <v>1.97</v>
      </c>
      <c r="I60" s="12">
        <v>0</v>
      </c>
    </row>
    <row r="61" spans="2:9" ht="15" customHeight="1" x14ac:dyDescent="0.2">
      <c r="B61" t="s">
        <v>174</v>
      </c>
      <c r="C61" s="12">
        <v>8</v>
      </c>
      <c r="D61" s="8">
        <v>2.02</v>
      </c>
      <c r="E61" s="12">
        <v>7</v>
      </c>
      <c r="F61" s="8">
        <v>2.97</v>
      </c>
      <c r="G61" s="12">
        <v>1</v>
      </c>
      <c r="H61" s="8">
        <v>0.66</v>
      </c>
      <c r="I61" s="12">
        <v>0</v>
      </c>
    </row>
    <row r="62" spans="2:9" ht="15" customHeight="1" x14ac:dyDescent="0.2">
      <c r="B62" t="s">
        <v>154</v>
      </c>
      <c r="C62" s="12">
        <v>8</v>
      </c>
      <c r="D62" s="8">
        <v>2.02</v>
      </c>
      <c r="E62" s="12">
        <v>5</v>
      </c>
      <c r="F62" s="8">
        <v>2.12</v>
      </c>
      <c r="G62" s="12">
        <v>3</v>
      </c>
      <c r="H62" s="8">
        <v>1.97</v>
      </c>
      <c r="I62" s="12">
        <v>0</v>
      </c>
    </row>
    <row r="63" spans="2:9" ht="15" customHeight="1" x14ac:dyDescent="0.2">
      <c r="B63" t="s">
        <v>136</v>
      </c>
      <c r="C63" s="12">
        <v>7</v>
      </c>
      <c r="D63" s="8">
        <v>1.76</v>
      </c>
      <c r="E63" s="12">
        <v>0</v>
      </c>
      <c r="F63" s="8">
        <v>0</v>
      </c>
      <c r="G63" s="12">
        <v>7</v>
      </c>
      <c r="H63" s="8">
        <v>4.6100000000000003</v>
      </c>
      <c r="I63" s="12">
        <v>0</v>
      </c>
    </row>
    <row r="64" spans="2:9" ht="15" customHeight="1" x14ac:dyDescent="0.2">
      <c r="B64" t="s">
        <v>137</v>
      </c>
      <c r="C64" s="12">
        <v>7</v>
      </c>
      <c r="D64" s="8">
        <v>1.76</v>
      </c>
      <c r="E64" s="12">
        <v>5</v>
      </c>
      <c r="F64" s="8">
        <v>2.12</v>
      </c>
      <c r="G64" s="12">
        <v>2</v>
      </c>
      <c r="H64" s="8">
        <v>1.32</v>
      </c>
      <c r="I64" s="12">
        <v>0</v>
      </c>
    </row>
    <row r="65" spans="2:9" ht="15" customHeight="1" x14ac:dyDescent="0.2">
      <c r="B65" t="s">
        <v>207</v>
      </c>
      <c r="C65" s="12">
        <v>7</v>
      </c>
      <c r="D65" s="8">
        <v>1.76</v>
      </c>
      <c r="E65" s="12">
        <v>7</v>
      </c>
      <c r="F65" s="8">
        <v>2.97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204</v>
      </c>
      <c r="C66" s="12">
        <v>6</v>
      </c>
      <c r="D66" s="8">
        <v>1.51</v>
      </c>
      <c r="E66" s="12">
        <v>2</v>
      </c>
      <c r="F66" s="8">
        <v>0.85</v>
      </c>
      <c r="G66" s="12">
        <v>4</v>
      </c>
      <c r="H66" s="8">
        <v>2.63</v>
      </c>
      <c r="I66" s="12">
        <v>0</v>
      </c>
    </row>
    <row r="67" spans="2:9" ht="15" customHeight="1" x14ac:dyDescent="0.2">
      <c r="B67" t="s">
        <v>180</v>
      </c>
      <c r="C67" s="12">
        <v>6</v>
      </c>
      <c r="D67" s="8">
        <v>1.51</v>
      </c>
      <c r="E67" s="12">
        <v>0</v>
      </c>
      <c r="F67" s="8">
        <v>0</v>
      </c>
      <c r="G67" s="12">
        <v>6</v>
      </c>
      <c r="H67" s="8">
        <v>3.95</v>
      </c>
      <c r="I67" s="12">
        <v>0</v>
      </c>
    </row>
    <row r="68" spans="2:9" ht="15" customHeight="1" x14ac:dyDescent="0.2">
      <c r="B68" t="s">
        <v>163</v>
      </c>
      <c r="C68" s="12">
        <v>5</v>
      </c>
      <c r="D68" s="8">
        <v>1.26</v>
      </c>
      <c r="E68" s="12">
        <v>4</v>
      </c>
      <c r="F68" s="8">
        <v>1.69</v>
      </c>
      <c r="G68" s="12">
        <v>1</v>
      </c>
      <c r="H68" s="8">
        <v>0.66</v>
      </c>
      <c r="I68" s="12">
        <v>0</v>
      </c>
    </row>
    <row r="69" spans="2:9" ht="15" customHeight="1" x14ac:dyDescent="0.2">
      <c r="B69" t="s">
        <v>164</v>
      </c>
      <c r="C69" s="12">
        <v>5</v>
      </c>
      <c r="D69" s="8">
        <v>1.26</v>
      </c>
      <c r="E69" s="12">
        <v>1</v>
      </c>
      <c r="F69" s="8">
        <v>0.42</v>
      </c>
      <c r="G69" s="12">
        <v>4</v>
      </c>
      <c r="H69" s="8">
        <v>2.63</v>
      </c>
      <c r="I69" s="12">
        <v>0</v>
      </c>
    </row>
    <row r="70" spans="2:9" ht="15" customHeight="1" x14ac:dyDescent="0.2">
      <c r="B70" t="s">
        <v>215</v>
      </c>
      <c r="C70" s="12">
        <v>5</v>
      </c>
      <c r="D70" s="8">
        <v>1.26</v>
      </c>
      <c r="E70" s="12">
        <v>1</v>
      </c>
      <c r="F70" s="8">
        <v>0.42</v>
      </c>
      <c r="G70" s="12">
        <v>4</v>
      </c>
      <c r="H70" s="8">
        <v>2.63</v>
      </c>
      <c r="I70" s="12">
        <v>0</v>
      </c>
    </row>
    <row r="71" spans="2:9" ht="15" customHeight="1" x14ac:dyDescent="0.2">
      <c r="B71" t="s">
        <v>201</v>
      </c>
      <c r="C71" s="12">
        <v>5</v>
      </c>
      <c r="D71" s="8">
        <v>1.26</v>
      </c>
      <c r="E71" s="12">
        <v>3</v>
      </c>
      <c r="F71" s="8">
        <v>1.27</v>
      </c>
      <c r="G71" s="12">
        <v>2</v>
      </c>
      <c r="H71" s="8">
        <v>1.32</v>
      </c>
      <c r="I71" s="12">
        <v>0</v>
      </c>
    </row>
    <row r="72" spans="2:9" ht="15" customHeight="1" x14ac:dyDescent="0.2">
      <c r="B72" t="s">
        <v>167</v>
      </c>
      <c r="C72" s="12">
        <v>5</v>
      </c>
      <c r="D72" s="8">
        <v>1.26</v>
      </c>
      <c r="E72" s="12">
        <v>4</v>
      </c>
      <c r="F72" s="8">
        <v>1.69</v>
      </c>
      <c r="G72" s="12">
        <v>1</v>
      </c>
      <c r="H72" s="8">
        <v>0.66</v>
      </c>
      <c r="I72" s="12">
        <v>0</v>
      </c>
    </row>
    <row r="73" spans="2:9" ht="15" customHeight="1" x14ac:dyDescent="0.2">
      <c r="B73" t="s">
        <v>181</v>
      </c>
      <c r="C73" s="12">
        <v>5</v>
      </c>
      <c r="D73" s="8">
        <v>1.26</v>
      </c>
      <c r="E73" s="12">
        <v>3</v>
      </c>
      <c r="F73" s="8">
        <v>1.27</v>
      </c>
      <c r="G73" s="12">
        <v>2</v>
      </c>
      <c r="H73" s="8">
        <v>1.32</v>
      </c>
      <c r="I73" s="12">
        <v>0</v>
      </c>
    </row>
    <row r="74" spans="2:9" ht="15" customHeight="1" x14ac:dyDescent="0.2">
      <c r="B74" t="s">
        <v>209</v>
      </c>
      <c r="C74" s="12">
        <v>5</v>
      </c>
      <c r="D74" s="8">
        <v>1.26</v>
      </c>
      <c r="E74" s="12">
        <v>3</v>
      </c>
      <c r="F74" s="8">
        <v>1.27</v>
      </c>
      <c r="G74" s="12">
        <v>2</v>
      </c>
      <c r="H74" s="8">
        <v>1.32</v>
      </c>
      <c r="I74" s="12">
        <v>0</v>
      </c>
    </row>
    <row r="75" spans="2:9" ht="15" customHeight="1" x14ac:dyDescent="0.2">
      <c r="B75" t="s">
        <v>176</v>
      </c>
      <c r="C75" s="12">
        <v>5</v>
      </c>
      <c r="D75" s="8">
        <v>1.26</v>
      </c>
      <c r="E75" s="12">
        <v>0</v>
      </c>
      <c r="F75" s="8">
        <v>0</v>
      </c>
      <c r="G75" s="12">
        <v>5</v>
      </c>
      <c r="H75" s="8">
        <v>3.29</v>
      </c>
      <c r="I75" s="12">
        <v>0</v>
      </c>
    </row>
    <row r="77" spans="2:9" ht="15" customHeight="1" x14ac:dyDescent="0.2">
      <c r="B77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D330-69B4-422F-8647-774ABDD5D59C}">
  <sheetPr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56</v>
      </c>
      <c r="D6" s="8">
        <v>19.510000000000002</v>
      </c>
      <c r="E6" s="12">
        <v>32</v>
      </c>
      <c r="F6" s="8">
        <v>17.88</v>
      </c>
      <c r="G6" s="12">
        <v>24</v>
      </c>
      <c r="H6" s="8">
        <v>23.3</v>
      </c>
      <c r="I6" s="12">
        <v>0</v>
      </c>
    </row>
    <row r="7" spans="2:9" ht="15" customHeight="1" x14ac:dyDescent="0.2">
      <c r="B7" t="s">
        <v>53</v>
      </c>
      <c r="C7" s="12">
        <v>31</v>
      </c>
      <c r="D7" s="8">
        <v>10.8</v>
      </c>
      <c r="E7" s="12">
        <v>14</v>
      </c>
      <c r="F7" s="8">
        <v>7.82</v>
      </c>
      <c r="G7" s="12">
        <v>17</v>
      </c>
      <c r="H7" s="8">
        <v>16.5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0.35</v>
      </c>
      <c r="E8" s="12">
        <v>0</v>
      </c>
      <c r="F8" s="8">
        <v>0</v>
      </c>
      <c r="G8" s="12">
        <v>1</v>
      </c>
      <c r="H8" s="8">
        <v>0.97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1.39</v>
      </c>
      <c r="E9" s="12">
        <v>1</v>
      </c>
      <c r="F9" s="8">
        <v>0.56000000000000005</v>
      </c>
      <c r="G9" s="12">
        <v>3</v>
      </c>
      <c r="H9" s="8">
        <v>2.91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69</v>
      </c>
      <c r="D11" s="8">
        <v>24.04</v>
      </c>
      <c r="E11" s="12">
        <v>41</v>
      </c>
      <c r="F11" s="8">
        <v>22.91</v>
      </c>
      <c r="G11" s="12">
        <v>28</v>
      </c>
      <c r="H11" s="8">
        <v>27.18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10</v>
      </c>
      <c r="D13" s="8">
        <v>3.48</v>
      </c>
      <c r="E13" s="12">
        <v>7</v>
      </c>
      <c r="F13" s="8">
        <v>3.91</v>
      </c>
      <c r="G13" s="12">
        <v>3</v>
      </c>
      <c r="H13" s="8">
        <v>2.91</v>
      </c>
      <c r="I13" s="12">
        <v>0</v>
      </c>
    </row>
    <row r="14" spans="2:9" ht="15" customHeight="1" x14ac:dyDescent="0.2">
      <c r="B14" t="s">
        <v>60</v>
      </c>
      <c r="C14" s="12">
        <v>9</v>
      </c>
      <c r="D14" s="8">
        <v>3.14</v>
      </c>
      <c r="E14" s="12">
        <v>6</v>
      </c>
      <c r="F14" s="8">
        <v>3.35</v>
      </c>
      <c r="G14" s="12">
        <v>3</v>
      </c>
      <c r="H14" s="8">
        <v>2.91</v>
      </c>
      <c r="I14" s="12">
        <v>0</v>
      </c>
    </row>
    <row r="15" spans="2:9" ht="15" customHeight="1" x14ac:dyDescent="0.2">
      <c r="B15" t="s">
        <v>61</v>
      </c>
      <c r="C15" s="12">
        <v>20</v>
      </c>
      <c r="D15" s="8">
        <v>6.97</v>
      </c>
      <c r="E15" s="12">
        <v>17</v>
      </c>
      <c r="F15" s="8">
        <v>9.5</v>
      </c>
      <c r="G15" s="12">
        <v>3</v>
      </c>
      <c r="H15" s="8">
        <v>2.91</v>
      </c>
      <c r="I15" s="12">
        <v>0</v>
      </c>
    </row>
    <row r="16" spans="2:9" ht="15" customHeight="1" x14ac:dyDescent="0.2">
      <c r="B16" t="s">
        <v>62</v>
      </c>
      <c r="C16" s="12">
        <v>28</v>
      </c>
      <c r="D16" s="8">
        <v>9.76</v>
      </c>
      <c r="E16" s="12">
        <v>28</v>
      </c>
      <c r="F16" s="8">
        <v>15.64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12</v>
      </c>
      <c r="D17" s="8">
        <v>4.18</v>
      </c>
      <c r="E17" s="12">
        <v>10</v>
      </c>
      <c r="F17" s="8">
        <v>5.59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24</v>
      </c>
      <c r="D18" s="8">
        <v>8.36</v>
      </c>
      <c r="E18" s="12">
        <v>10</v>
      </c>
      <c r="F18" s="8">
        <v>5.59</v>
      </c>
      <c r="G18" s="12">
        <v>12</v>
      </c>
      <c r="H18" s="8">
        <v>11.65</v>
      </c>
      <c r="I18" s="12">
        <v>1</v>
      </c>
    </row>
    <row r="19" spans="2:9" ht="15" customHeight="1" x14ac:dyDescent="0.2">
      <c r="B19" t="s">
        <v>65</v>
      </c>
      <c r="C19" s="12">
        <v>23</v>
      </c>
      <c r="D19" s="8">
        <v>8.01</v>
      </c>
      <c r="E19" s="12">
        <v>13</v>
      </c>
      <c r="F19" s="8">
        <v>7.26</v>
      </c>
      <c r="G19" s="12">
        <v>9</v>
      </c>
      <c r="H19" s="8">
        <v>8.74</v>
      </c>
      <c r="I19" s="12">
        <v>1</v>
      </c>
    </row>
    <row r="20" spans="2:9" ht="15" customHeight="1" x14ac:dyDescent="0.2">
      <c r="B20" s="9" t="s">
        <v>281</v>
      </c>
      <c r="C20" s="12">
        <f>SUM(LTBL_43468[総数／事業所数])</f>
        <v>287</v>
      </c>
      <c r="E20" s="12">
        <f>SUBTOTAL(109,LTBL_43468[個人／事業所数])</f>
        <v>179</v>
      </c>
      <c r="G20" s="12">
        <f>SUBTOTAL(109,LTBL_43468[法人／事業所数])</f>
        <v>103</v>
      </c>
      <c r="I20" s="12">
        <f>SUBTOTAL(109,LTBL_43468[法人以外の団体／事業所数])</f>
        <v>2</v>
      </c>
    </row>
    <row r="21" spans="2:9" ht="15" customHeight="1" x14ac:dyDescent="0.2">
      <c r="E21" s="11">
        <f>LTBL_43468[[#Totals],[個人／事業所数]]/LTBL_43468[[#Totals],[総数／事業所数]]</f>
        <v>0.62369337979094075</v>
      </c>
      <c r="G21" s="11">
        <f>LTBL_43468[[#Totals],[法人／事業所数]]/LTBL_43468[[#Totals],[総数／事業所数]]</f>
        <v>0.35888501742160278</v>
      </c>
      <c r="I21" s="11">
        <f>LTBL_43468[[#Totals],[法人以外の団体／事業所数]]/LTBL_43468[[#Totals],[総数／事業所数]]</f>
        <v>6.9686411149825784E-3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36</v>
      </c>
      <c r="D24" s="8">
        <v>12.54</v>
      </c>
      <c r="E24" s="12">
        <v>21</v>
      </c>
      <c r="F24" s="8">
        <v>11.73</v>
      </c>
      <c r="G24" s="12">
        <v>15</v>
      </c>
      <c r="H24" s="8">
        <v>14.56</v>
      </c>
      <c r="I24" s="12">
        <v>0</v>
      </c>
    </row>
    <row r="25" spans="2:9" ht="15" customHeight="1" x14ac:dyDescent="0.2">
      <c r="B25" t="s">
        <v>89</v>
      </c>
      <c r="C25" s="12">
        <v>25</v>
      </c>
      <c r="D25" s="8">
        <v>8.7100000000000009</v>
      </c>
      <c r="E25" s="12">
        <v>25</v>
      </c>
      <c r="F25" s="8">
        <v>13.97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83</v>
      </c>
      <c r="C26" s="12">
        <v>21</v>
      </c>
      <c r="D26" s="8">
        <v>7.32</v>
      </c>
      <c r="E26" s="12">
        <v>13</v>
      </c>
      <c r="F26" s="8">
        <v>7.26</v>
      </c>
      <c r="G26" s="12">
        <v>8</v>
      </c>
      <c r="H26" s="8">
        <v>7.77</v>
      </c>
      <c r="I26" s="12">
        <v>0</v>
      </c>
    </row>
    <row r="27" spans="2:9" ht="15" customHeight="1" x14ac:dyDescent="0.2">
      <c r="B27" t="s">
        <v>88</v>
      </c>
      <c r="C27" s="12">
        <v>19</v>
      </c>
      <c r="D27" s="8">
        <v>6.62</v>
      </c>
      <c r="E27" s="12">
        <v>16</v>
      </c>
      <c r="F27" s="8">
        <v>8.94</v>
      </c>
      <c r="G27" s="12">
        <v>3</v>
      </c>
      <c r="H27" s="8">
        <v>2.91</v>
      </c>
      <c r="I27" s="12">
        <v>0</v>
      </c>
    </row>
    <row r="28" spans="2:9" ht="15" customHeight="1" x14ac:dyDescent="0.2">
      <c r="B28" t="s">
        <v>81</v>
      </c>
      <c r="C28" s="12">
        <v>14</v>
      </c>
      <c r="D28" s="8">
        <v>4.88</v>
      </c>
      <c r="E28" s="12">
        <v>10</v>
      </c>
      <c r="F28" s="8">
        <v>5.59</v>
      </c>
      <c r="G28" s="12">
        <v>4</v>
      </c>
      <c r="H28" s="8">
        <v>3.88</v>
      </c>
      <c r="I28" s="12">
        <v>0</v>
      </c>
    </row>
    <row r="29" spans="2:9" ht="15" customHeight="1" x14ac:dyDescent="0.2">
      <c r="B29" t="s">
        <v>76</v>
      </c>
      <c r="C29" s="12">
        <v>12</v>
      </c>
      <c r="D29" s="8">
        <v>4.18</v>
      </c>
      <c r="E29" s="12">
        <v>3</v>
      </c>
      <c r="F29" s="8">
        <v>1.68</v>
      </c>
      <c r="G29" s="12">
        <v>9</v>
      </c>
      <c r="H29" s="8">
        <v>8.74</v>
      </c>
      <c r="I29" s="12">
        <v>0</v>
      </c>
    </row>
    <row r="30" spans="2:9" ht="15" customHeight="1" x14ac:dyDescent="0.2">
      <c r="B30" t="s">
        <v>90</v>
      </c>
      <c r="C30" s="12">
        <v>12</v>
      </c>
      <c r="D30" s="8">
        <v>4.18</v>
      </c>
      <c r="E30" s="12">
        <v>10</v>
      </c>
      <c r="F30" s="8">
        <v>5.59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91</v>
      </c>
      <c r="C31" s="12">
        <v>12</v>
      </c>
      <c r="D31" s="8">
        <v>4.18</v>
      </c>
      <c r="E31" s="12">
        <v>10</v>
      </c>
      <c r="F31" s="8">
        <v>5.59</v>
      </c>
      <c r="G31" s="12">
        <v>2</v>
      </c>
      <c r="H31" s="8">
        <v>1.94</v>
      </c>
      <c r="I31" s="12">
        <v>0</v>
      </c>
    </row>
    <row r="32" spans="2:9" ht="15" customHeight="1" x14ac:dyDescent="0.2">
      <c r="B32" t="s">
        <v>92</v>
      </c>
      <c r="C32" s="12">
        <v>12</v>
      </c>
      <c r="D32" s="8">
        <v>4.18</v>
      </c>
      <c r="E32" s="12">
        <v>0</v>
      </c>
      <c r="F32" s="8">
        <v>0</v>
      </c>
      <c r="G32" s="12">
        <v>10</v>
      </c>
      <c r="H32" s="8">
        <v>9.7100000000000009</v>
      </c>
      <c r="I32" s="12">
        <v>1</v>
      </c>
    </row>
    <row r="33" spans="2:9" ht="15" customHeight="1" x14ac:dyDescent="0.2">
      <c r="B33" t="s">
        <v>82</v>
      </c>
      <c r="C33" s="12">
        <v>11</v>
      </c>
      <c r="D33" s="8">
        <v>3.83</v>
      </c>
      <c r="E33" s="12">
        <v>9</v>
      </c>
      <c r="F33" s="8">
        <v>5.03</v>
      </c>
      <c r="G33" s="12">
        <v>2</v>
      </c>
      <c r="H33" s="8">
        <v>1.94</v>
      </c>
      <c r="I33" s="12">
        <v>0</v>
      </c>
    </row>
    <row r="34" spans="2:9" ht="15" customHeight="1" x14ac:dyDescent="0.2">
      <c r="B34" t="s">
        <v>93</v>
      </c>
      <c r="C34" s="12">
        <v>11</v>
      </c>
      <c r="D34" s="8">
        <v>3.83</v>
      </c>
      <c r="E34" s="12">
        <v>9</v>
      </c>
      <c r="F34" s="8">
        <v>5.03</v>
      </c>
      <c r="G34" s="12">
        <v>2</v>
      </c>
      <c r="H34" s="8">
        <v>1.94</v>
      </c>
      <c r="I34" s="12">
        <v>0</v>
      </c>
    </row>
    <row r="35" spans="2:9" ht="15" customHeight="1" x14ac:dyDescent="0.2">
      <c r="B35" t="s">
        <v>77</v>
      </c>
      <c r="C35" s="12">
        <v>10</v>
      </c>
      <c r="D35" s="8">
        <v>3.48</v>
      </c>
      <c r="E35" s="12">
        <v>1</v>
      </c>
      <c r="F35" s="8">
        <v>0.56000000000000005</v>
      </c>
      <c r="G35" s="12">
        <v>9</v>
      </c>
      <c r="H35" s="8">
        <v>8.74</v>
      </c>
      <c r="I35" s="12">
        <v>0</v>
      </c>
    </row>
    <row r="36" spans="2:9" ht="15" customHeight="1" x14ac:dyDescent="0.2">
      <c r="B36" t="s">
        <v>75</v>
      </c>
      <c r="C36" s="12">
        <v>8</v>
      </c>
      <c r="D36" s="8">
        <v>2.79</v>
      </c>
      <c r="E36" s="12">
        <v>8</v>
      </c>
      <c r="F36" s="8">
        <v>4.47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78</v>
      </c>
      <c r="C37" s="12">
        <v>7</v>
      </c>
      <c r="D37" s="8">
        <v>2.44</v>
      </c>
      <c r="E37" s="12">
        <v>1</v>
      </c>
      <c r="F37" s="8">
        <v>0.56000000000000005</v>
      </c>
      <c r="G37" s="12">
        <v>6</v>
      </c>
      <c r="H37" s="8">
        <v>5.83</v>
      </c>
      <c r="I37" s="12">
        <v>0</v>
      </c>
    </row>
    <row r="38" spans="2:9" ht="15" customHeight="1" x14ac:dyDescent="0.2">
      <c r="B38" t="s">
        <v>85</v>
      </c>
      <c r="C38" s="12">
        <v>7</v>
      </c>
      <c r="D38" s="8">
        <v>2.44</v>
      </c>
      <c r="E38" s="12">
        <v>5</v>
      </c>
      <c r="F38" s="8">
        <v>2.79</v>
      </c>
      <c r="G38" s="12">
        <v>2</v>
      </c>
      <c r="H38" s="8">
        <v>1.94</v>
      </c>
      <c r="I38" s="12">
        <v>0</v>
      </c>
    </row>
    <row r="39" spans="2:9" ht="15" customHeight="1" x14ac:dyDescent="0.2">
      <c r="B39" t="s">
        <v>94</v>
      </c>
      <c r="C39" s="12">
        <v>6</v>
      </c>
      <c r="D39" s="8">
        <v>2.09</v>
      </c>
      <c r="E39" s="12">
        <v>5</v>
      </c>
      <c r="F39" s="8">
        <v>2.79</v>
      </c>
      <c r="G39" s="12">
        <v>1</v>
      </c>
      <c r="H39" s="8">
        <v>0.97</v>
      </c>
      <c r="I39" s="12">
        <v>0</v>
      </c>
    </row>
    <row r="40" spans="2:9" ht="15" customHeight="1" x14ac:dyDescent="0.2">
      <c r="B40" t="s">
        <v>87</v>
      </c>
      <c r="C40" s="12">
        <v>6</v>
      </c>
      <c r="D40" s="8">
        <v>2.09</v>
      </c>
      <c r="E40" s="12">
        <v>3</v>
      </c>
      <c r="F40" s="8">
        <v>1.68</v>
      </c>
      <c r="G40" s="12">
        <v>3</v>
      </c>
      <c r="H40" s="8">
        <v>2.91</v>
      </c>
      <c r="I40" s="12">
        <v>0</v>
      </c>
    </row>
    <row r="41" spans="2:9" ht="15" customHeight="1" x14ac:dyDescent="0.2">
      <c r="B41" t="s">
        <v>125</v>
      </c>
      <c r="C41" s="12">
        <v>5</v>
      </c>
      <c r="D41" s="8">
        <v>1.74</v>
      </c>
      <c r="E41" s="12">
        <v>3</v>
      </c>
      <c r="F41" s="8">
        <v>1.68</v>
      </c>
      <c r="G41" s="12">
        <v>2</v>
      </c>
      <c r="H41" s="8">
        <v>1.94</v>
      </c>
      <c r="I41" s="12">
        <v>0</v>
      </c>
    </row>
    <row r="42" spans="2:9" ht="15" customHeight="1" x14ac:dyDescent="0.2">
      <c r="B42" t="s">
        <v>126</v>
      </c>
      <c r="C42" s="12">
        <v>5</v>
      </c>
      <c r="D42" s="8">
        <v>1.74</v>
      </c>
      <c r="E42" s="12">
        <v>3</v>
      </c>
      <c r="F42" s="8">
        <v>1.68</v>
      </c>
      <c r="G42" s="12">
        <v>2</v>
      </c>
      <c r="H42" s="8">
        <v>1.94</v>
      </c>
      <c r="I42" s="12">
        <v>0</v>
      </c>
    </row>
    <row r="43" spans="2:9" ht="15" customHeight="1" x14ac:dyDescent="0.2">
      <c r="B43" t="s">
        <v>110</v>
      </c>
      <c r="C43" s="12">
        <v>4</v>
      </c>
      <c r="D43" s="8">
        <v>1.39</v>
      </c>
      <c r="E43" s="12">
        <v>3</v>
      </c>
      <c r="F43" s="8">
        <v>1.68</v>
      </c>
      <c r="G43" s="12">
        <v>1</v>
      </c>
      <c r="H43" s="8">
        <v>0.97</v>
      </c>
      <c r="I43" s="12">
        <v>0</v>
      </c>
    </row>
    <row r="44" spans="2:9" ht="15" customHeight="1" x14ac:dyDescent="0.2">
      <c r="B44" t="s">
        <v>99</v>
      </c>
      <c r="C44" s="12">
        <v>4</v>
      </c>
      <c r="D44" s="8">
        <v>1.39</v>
      </c>
      <c r="E44" s="12">
        <v>1</v>
      </c>
      <c r="F44" s="8">
        <v>0.56000000000000005</v>
      </c>
      <c r="G44" s="12">
        <v>3</v>
      </c>
      <c r="H44" s="8">
        <v>2.91</v>
      </c>
      <c r="I44" s="12">
        <v>0</v>
      </c>
    </row>
    <row r="45" spans="2:9" ht="15" customHeight="1" x14ac:dyDescent="0.2">
      <c r="B45" t="s">
        <v>80</v>
      </c>
      <c r="C45" s="12">
        <v>4</v>
      </c>
      <c r="D45" s="8">
        <v>1.39</v>
      </c>
      <c r="E45" s="12">
        <v>2</v>
      </c>
      <c r="F45" s="8">
        <v>1.1200000000000001</v>
      </c>
      <c r="G45" s="12">
        <v>2</v>
      </c>
      <c r="H45" s="8">
        <v>1.94</v>
      </c>
      <c r="I45" s="12">
        <v>0</v>
      </c>
    </row>
    <row r="46" spans="2:9" ht="15" customHeight="1" x14ac:dyDescent="0.2">
      <c r="B46" t="s">
        <v>95</v>
      </c>
      <c r="C46" s="12">
        <v>4</v>
      </c>
      <c r="D46" s="8">
        <v>1.39</v>
      </c>
      <c r="E46" s="12">
        <v>1</v>
      </c>
      <c r="F46" s="8">
        <v>0.56000000000000005</v>
      </c>
      <c r="G46" s="12">
        <v>3</v>
      </c>
      <c r="H46" s="8">
        <v>2.91</v>
      </c>
      <c r="I46" s="12">
        <v>0</v>
      </c>
    </row>
    <row r="49" spans="2:9" ht="33" customHeight="1" x14ac:dyDescent="0.2">
      <c r="B49" t="s">
        <v>283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151</v>
      </c>
      <c r="C50" s="12">
        <v>15</v>
      </c>
      <c r="D50" s="8">
        <v>5.23</v>
      </c>
      <c r="E50" s="12">
        <v>15</v>
      </c>
      <c r="F50" s="8">
        <v>8.3800000000000008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135</v>
      </c>
      <c r="C51" s="12">
        <v>13</v>
      </c>
      <c r="D51" s="8">
        <v>4.53</v>
      </c>
      <c r="E51" s="12">
        <v>6</v>
      </c>
      <c r="F51" s="8">
        <v>3.35</v>
      </c>
      <c r="G51" s="12">
        <v>7</v>
      </c>
      <c r="H51" s="8">
        <v>6.8</v>
      </c>
      <c r="I51" s="12">
        <v>0</v>
      </c>
    </row>
    <row r="52" spans="2:9" ht="15" customHeight="1" x14ac:dyDescent="0.2">
      <c r="B52" t="s">
        <v>137</v>
      </c>
      <c r="C52" s="12">
        <v>11</v>
      </c>
      <c r="D52" s="8">
        <v>3.83</v>
      </c>
      <c r="E52" s="12">
        <v>8</v>
      </c>
      <c r="F52" s="8">
        <v>4.47</v>
      </c>
      <c r="G52" s="12">
        <v>3</v>
      </c>
      <c r="H52" s="8">
        <v>2.91</v>
      </c>
      <c r="I52" s="12">
        <v>0</v>
      </c>
    </row>
    <row r="53" spans="2:9" ht="15" customHeight="1" x14ac:dyDescent="0.2">
      <c r="B53" t="s">
        <v>154</v>
      </c>
      <c r="C53" s="12">
        <v>11</v>
      </c>
      <c r="D53" s="8">
        <v>3.83</v>
      </c>
      <c r="E53" s="12">
        <v>9</v>
      </c>
      <c r="F53" s="8">
        <v>5.03</v>
      </c>
      <c r="G53" s="12">
        <v>2</v>
      </c>
      <c r="H53" s="8">
        <v>1.94</v>
      </c>
      <c r="I53" s="12">
        <v>0</v>
      </c>
    </row>
    <row r="54" spans="2:9" ht="15" customHeight="1" x14ac:dyDescent="0.2">
      <c r="B54" t="s">
        <v>136</v>
      </c>
      <c r="C54" s="12">
        <v>8</v>
      </c>
      <c r="D54" s="8">
        <v>2.79</v>
      </c>
      <c r="E54" s="12">
        <v>5</v>
      </c>
      <c r="F54" s="8">
        <v>2.79</v>
      </c>
      <c r="G54" s="12">
        <v>3</v>
      </c>
      <c r="H54" s="8">
        <v>2.91</v>
      </c>
      <c r="I54" s="12">
        <v>0</v>
      </c>
    </row>
    <row r="55" spans="2:9" ht="15" customHeight="1" x14ac:dyDescent="0.2">
      <c r="B55" t="s">
        <v>138</v>
      </c>
      <c r="C55" s="12">
        <v>8</v>
      </c>
      <c r="D55" s="8">
        <v>2.79</v>
      </c>
      <c r="E55" s="12">
        <v>3</v>
      </c>
      <c r="F55" s="8">
        <v>1.68</v>
      </c>
      <c r="G55" s="12">
        <v>5</v>
      </c>
      <c r="H55" s="8">
        <v>4.8499999999999996</v>
      </c>
      <c r="I55" s="12">
        <v>0</v>
      </c>
    </row>
    <row r="56" spans="2:9" ht="15" customHeight="1" x14ac:dyDescent="0.2">
      <c r="B56" t="s">
        <v>141</v>
      </c>
      <c r="C56" s="12">
        <v>8</v>
      </c>
      <c r="D56" s="8">
        <v>2.79</v>
      </c>
      <c r="E56" s="12">
        <v>7</v>
      </c>
      <c r="F56" s="8">
        <v>3.91</v>
      </c>
      <c r="G56" s="12">
        <v>1</v>
      </c>
      <c r="H56" s="8">
        <v>0.97</v>
      </c>
      <c r="I56" s="12">
        <v>0</v>
      </c>
    </row>
    <row r="57" spans="2:9" ht="15" customHeight="1" x14ac:dyDescent="0.2">
      <c r="B57" t="s">
        <v>150</v>
      </c>
      <c r="C57" s="12">
        <v>8</v>
      </c>
      <c r="D57" s="8">
        <v>2.79</v>
      </c>
      <c r="E57" s="12">
        <v>8</v>
      </c>
      <c r="F57" s="8">
        <v>4.47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8</v>
      </c>
      <c r="D58" s="8">
        <v>2.79</v>
      </c>
      <c r="E58" s="12">
        <v>7</v>
      </c>
      <c r="F58" s="8">
        <v>3.91</v>
      </c>
      <c r="G58" s="12">
        <v>1</v>
      </c>
      <c r="H58" s="8">
        <v>0.97</v>
      </c>
      <c r="I58" s="12">
        <v>0</v>
      </c>
    </row>
    <row r="59" spans="2:9" ht="15" customHeight="1" x14ac:dyDescent="0.2">
      <c r="B59" t="s">
        <v>152</v>
      </c>
      <c r="C59" s="12">
        <v>7</v>
      </c>
      <c r="D59" s="8">
        <v>2.44</v>
      </c>
      <c r="E59" s="12">
        <v>7</v>
      </c>
      <c r="F59" s="8">
        <v>3.91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180</v>
      </c>
      <c r="C60" s="12">
        <v>7</v>
      </c>
      <c r="D60" s="8">
        <v>2.44</v>
      </c>
      <c r="E60" s="12">
        <v>0</v>
      </c>
      <c r="F60" s="8">
        <v>0</v>
      </c>
      <c r="G60" s="12">
        <v>7</v>
      </c>
      <c r="H60" s="8">
        <v>6.8</v>
      </c>
      <c r="I60" s="12">
        <v>0</v>
      </c>
    </row>
    <row r="61" spans="2:9" ht="15" customHeight="1" x14ac:dyDescent="0.2">
      <c r="B61" t="s">
        <v>164</v>
      </c>
      <c r="C61" s="12">
        <v>6</v>
      </c>
      <c r="D61" s="8">
        <v>2.09</v>
      </c>
      <c r="E61" s="12">
        <v>1</v>
      </c>
      <c r="F61" s="8">
        <v>0.56000000000000005</v>
      </c>
      <c r="G61" s="12">
        <v>5</v>
      </c>
      <c r="H61" s="8">
        <v>4.8499999999999996</v>
      </c>
      <c r="I61" s="12">
        <v>0</v>
      </c>
    </row>
    <row r="62" spans="2:9" ht="15" customHeight="1" x14ac:dyDescent="0.2">
      <c r="B62" t="s">
        <v>140</v>
      </c>
      <c r="C62" s="12">
        <v>6</v>
      </c>
      <c r="D62" s="8">
        <v>2.09</v>
      </c>
      <c r="E62" s="12">
        <v>6</v>
      </c>
      <c r="F62" s="8">
        <v>3.35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147</v>
      </c>
      <c r="C63" s="12">
        <v>6</v>
      </c>
      <c r="D63" s="8">
        <v>2.09</v>
      </c>
      <c r="E63" s="12">
        <v>5</v>
      </c>
      <c r="F63" s="8">
        <v>2.79</v>
      </c>
      <c r="G63" s="12">
        <v>1</v>
      </c>
      <c r="H63" s="8">
        <v>0.97</v>
      </c>
      <c r="I63" s="12">
        <v>0</v>
      </c>
    </row>
    <row r="64" spans="2:9" ht="15" customHeight="1" x14ac:dyDescent="0.2">
      <c r="B64" t="s">
        <v>143</v>
      </c>
      <c r="C64" s="12">
        <v>5</v>
      </c>
      <c r="D64" s="8">
        <v>1.74</v>
      </c>
      <c r="E64" s="12">
        <v>4</v>
      </c>
      <c r="F64" s="8">
        <v>2.23</v>
      </c>
      <c r="G64" s="12">
        <v>1</v>
      </c>
      <c r="H64" s="8">
        <v>0.97</v>
      </c>
      <c r="I64" s="12">
        <v>0</v>
      </c>
    </row>
    <row r="65" spans="2:9" ht="15" customHeight="1" x14ac:dyDescent="0.2">
      <c r="B65" t="s">
        <v>145</v>
      </c>
      <c r="C65" s="12">
        <v>5</v>
      </c>
      <c r="D65" s="8">
        <v>1.74</v>
      </c>
      <c r="E65" s="12">
        <v>4</v>
      </c>
      <c r="F65" s="8">
        <v>2.23</v>
      </c>
      <c r="G65" s="12">
        <v>1</v>
      </c>
      <c r="H65" s="8">
        <v>0.97</v>
      </c>
      <c r="I65" s="12">
        <v>0</v>
      </c>
    </row>
    <row r="66" spans="2:9" ht="15" customHeight="1" x14ac:dyDescent="0.2">
      <c r="B66" t="s">
        <v>148</v>
      </c>
      <c r="C66" s="12">
        <v>5</v>
      </c>
      <c r="D66" s="8">
        <v>1.74</v>
      </c>
      <c r="E66" s="12">
        <v>5</v>
      </c>
      <c r="F66" s="8">
        <v>2.79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240</v>
      </c>
      <c r="C67" s="12">
        <v>4</v>
      </c>
      <c r="D67" s="8">
        <v>1.39</v>
      </c>
      <c r="E67" s="12">
        <v>1</v>
      </c>
      <c r="F67" s="8">
        <v>0.56000000000000005</v>
      </c>
      <c r="G67" s="12">
        <v>3</v>
      </c>
      <c r="H67" s="8">
        <v>2.91</v>
      </c>
      <c r="I67" s="12">
        <v>0</v>
      </c>
    </row>
    <row r="68" spans="2:9" ht="15" customHeight="1" x14ac:dyDescent="0.2">
      <c r="B68" t="s">
        <v>163</v>
      </c>
      <c r="C68" s="12">
        <v>3</v>
      </c>
      <c r="D68" s="8">
        <v>1.05</v>
      </c>
      <c r="E68" s="12">
        <v>0</v>
      </c>
      <c r="F68" s="8">
        <v>0</v>
      </c>
      <c r="G68" s="12">
        <v>3</v>
      </c>
      <c r="H68" s="8">
        <v>2.91</v>
      </c>
      <c r="I68" s="12">
        <v>0</v>
      </c>
    </row>
    <row r="69" spans="2:9" ht="15" customHeight="1" x14ac:dyDescent="0.2">
      <c r="B69" t="s">
        <v>236</v>
      </c>
      <c r="C69" s="12">
        <v>3</v>
      </c>
      <c r="D69" s="8">
        <v>1.05</v>
      </c>
      <c r="E69" s="12">
        <v>0</v>
      </c>
      <c r="F69" s="8">
        <v>0</v>
      </c>
      <c r="G69" s="12">
        <v>3</v>
      </c>
      <c r="H69" s="8">
        <v>2.91</v>
      </c>
      <c r="I69" s="12">
        <v>0</v>
      </c>
    </row>
    <row r="70" spans="2:9" ht="15" customHeight="1" x14ac:dyDescent="0.2">
      <c r="B70" t="s">
        <v>237</v>
      </c>
      <c r="C70" s="12">
        <v>3</v>
      </c>
      <c r="D70" s="8">
        <v>1.05</v>
      </c>
      <c r="E70" s="12">
        <v>2</v>
      </c>
      <c r="F70" s="8">
        <v>1.1200000000000001</v>
      </c>
      <c r="G70" s="12">
        <v>1</v>
      </c>
      <c r="H70" s="8">
        <v>0.97</v>
      </c>
      <c r="I70" s="12">
        <v>0</v>
      </c>
    </row>
    <row r="71" spans="2:9" ht="15" customHeight="1" x14ac:dyDescent="0.2">
      <c r="B71" t="s">
        <v>238</v>
      </c>
      <c r="C71" s="12">
        <v>3</v>
      </c>
      <c r="D71" s="8">
        <v>1.05</v>
      </c>
      <c r="E71" s="12">
        <v>0</v>
      </c>
      <c r="F71" s="8">
        <v>0</v>
      </c>
      <c r="G71" s="12">
        <v>3</v>
      </c>
      <c r="H71" s="8">
        <v>2.91</v>
      </c>
      <c r="I71" s="12">
        <v>0</v>
      </c>
    </row>
    <row r="72" spans="2:9" ht="15" customHeight="1" x14ac:dyDescent="0.2">
      <c r="B72" t="s">
        <v>200</v>
      </c>
      <c r="C72" s="12">
        <v>3</v>
      </c>
      <c r="D72" s="8">
        <v>1.05</v>
      </c>
      <c r="E72" s="12">
        <v>2</v>
      </c>
      <c r="F72" s="8">
        <v>1.1200000000000001</v>
      </c>
      <c r="G72" s="12">
        <v>1</v>
      </c>
      <c r="H72" s="8">
        <v>0.97</v>
      </c>
      <c r="I72" s="12">
        <v>0</v>
      </c>
    </row>
    <row r="73" spans="2:9" ht="15" customHeight="1" x14ac:dyDescent="0.2">
      <c r="B73" t="s">
        <v>174</v>
      </c>
      <c r="C73" s="12">
        <v>3</v>
      </c>
      <c r="D73" s="8">
        <v>1.05</v>
      </c>
      <c r="E73" s="12">
        <v>2</v>
      </c>
      <c r="F73" s="8">
        <v>1.1200000000000001</v>
      </c>
      <c r="G73" s="12">
        <v>1</v>
      </c>
      <c r="H73" s="8">
        <v>0.97</v>
      </c>
      <c r="I73" s="12">
        <v>0</v>
      </c>
    </row>
    <row r="74" spans="2:9" ht="15" customHeight="1" x14ac:dyDescent="0.2">
      <c r="B74" t="s">
        <v>203</v>
      </c>
      <c r="C74" s="12">
        <v>3</v>
      </c>
      <c r="D74" s="8">
        <v>1.05</v>
      </c>
      <c r="E74" s="12">
        <v>3</v>
      </c>
      <c r="F74" s="8">
        <v>1.68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204</v>
      </c>
      <c r="C75" s="12">
        <v>3</v>
      </c>
      <c r="D75" s="8">
        <v>1.05</v>
      </c>
      <c r="E75" s="12">
        <v>2</v>
      </c>
      <c r="F75" s="8">
        <v>1.1200000000000001</v>
      </c>
      <c r="G75" s="12">
        <v>1</v>
      </c>
      <c r="H75" s="8">
        <v>0.97</v>
      </c>
      <c r="I75" s="12">
        <v>0</v>
      </c>
    </row>
    <row r="76" spans="2:9" ht="15" customHeight="1" x14ac:dyDescent="0.2">
      <c r="B76" t="s">
        <v>155</v>
      </c>
      <c r="C76" s="12">
        <v>3</v>
      </c>
      <c r="D76" s="8">
        <v>1.05</v>
      </c>
      <c r="E76" s="12">
        <v>2</v>
      </c>
      <c r="F76" s="8">
        <v>1.1200000000000001</v>
      </c>
      <c r="G76" s="12">
        <v>1</v>
      </c>
      <c r="H76" s="8">
        <v>0.97</v>
      </c>
      <c r="I76" s="12">
        <v>0</v>
      </c>
    </row>
    <row r="77" spans="2:9" ht="15" customHeight="1" x14ac:dyDescent="0.2">
      <c r="B77" t="s">
        <v>146</v>
      </c>
      <c r="C77" s="12">
        <v>3</v>
      </c>
      <c r="D77" s="8">
        <v>1.05</v>
      </c>
      <c r="E77" s="12">
        <v>1</v>
      </c>
      <c r="F77" s="8">
        <v>0.56000000000000005</v>
      </c>
      <c r="G77" s="12">
        <v>2</v>
      </c>
      <c r="H77" s="8">
        <v>1.94</v>
      </c>
      <c r="I77" s="12">
        <v>0</v>
      </c>
    </row>
    <row r="78" spans="2:9" ht="15" customHeight="1" x14ac:dyDescent="0.2">
      <c r="B78" t="s">
        <v>159</v>
      </c>
      <c r="C78" s="12">
        <v>3</v>
      </c>
      <c r="D78" s="8">
        <v>1.05</v>
      </c>
      <c r="E78" s="12">
        <v>3</v>
      </c>
      <c r="F78" s="8">
        <v>1.68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172</v>
      </c>
      <c r="C79" s="12">
        <v>3</v>
      </c>
      <c r="D79" s="8">
        <v>1.05</v>
      </c>
      <c r="E79" s="12">
        <v>3</v>
      </c>
      <c r="F79" s="8">
        <v>1.68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210</v>
      </c>
      <c r="C80" s="12">
        <v>3</v>
      </c>
      <c r="D80" s="8">
        <v>1.05</v>
      </c>
      <c r="E80" s="12">
        <v>3</v>
      </c>
      <c r="F80" s="8">
        <v>1.68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216</v>
      </c>
      <c r="C81" s="12">
        <v>3</v>
      </c>
      <c r="D81" s="8">
        <v>1.05</v>
      </c>
      <c r="E81" s="12">
        <v>0</v>
      </c>
      <c r="F81" s="8">
        <v>0</v>
      </c>
      <c r="G81" s="12">
        <v>1</v>
      </c>
      <c r="H81" s="8">
        <v>0.97</v>
      </c>
      <c r="I81" s="12">
        <v>1</v>
      </c>
    </row>
    <row r="82" spans="2:9" ht="15" customHeight="1" x14ac:dyDescent="0.2">
      <c r="B82" t="s">
        <v>239</v>
      </c>
      <c r="C82" s="12">
        <v>3</v>
      </c>
      <c r="D82" s="8">
        <v>1.05</v>
      </c>
      <c r="E82" s="12">
        <v>2</v>
      </c>
      <c r="F82" s="8">
        <v>1.1200000000000001</v>
      </c>
      <c r="G82" s="12">
        <v>1</v>
      </c>
      <c r="H82" s="8">
        <v>0.97</v>
      </c>
      <c r="I82" s="12">
        <v>0</v>
      </c>
    </row>
    <row r="84" spans="2:9" ht="15" customHeight="1" x14ac:dyDescent="0.2">
      <c r="B84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DB9F-F511-4CC9-B3BB-BA0B08BDA7A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51</v>
      </c>
      <c r="D6" s="8">
        <v>15.69</v>
      </c>
      <c r="E6" s="12">
        <v>20</v>
      </c>
      <c r="F6" s="8">
        <v>11.43</v>
      </c>
      <c r="G6" s="12">
        <v>31</v>
      </c>
      <c r="H6" s="8">
        <v>21.53</v>
      </c>
      <c r="I6" s="12">
        <v>0</v>
      </c>
    </row>
    <row r="7" spans="2:9" ht="15" customHeight="1" x14ac:dyDescent="0.2">
      <c r="B7" t="s">
        <v>53</v>
      </c>
      <c r="C7" s="12">
        <v>26</v>
      </c>
      <c r="D7" s="8">
        <v>8</v>
      </c>
      <c r="E7" s="12">
        <v>9</v>
      </c>
      <c r="F7" s="8">
        <v>5.14</v>
      </c>
      <c r="G7" s="12">
        <v>16</v>
      </c>
      <c r="H7" s="8">
        <v>11.11</v>
      </c>
      <c r="I7" s="12">
        <v>1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5</v>
      </c>
      <c r="D9" s="8">
        <v>1.54</v>
      </c>
      <c r="E9" s="12">
        <v>1</v>
      </c>
      <c r="F9" s="8">
        <v>0.56999999999999995</v>
      </c>
      <c r="G9" s="12">
        <v>4</v>
      </c>
      <c r="H9" s="8">
        <v>2.78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0.31</v>
      </c>
      <c r="E10" s="12">
        <v>0</v>
      </c>
      <c r="F10" s="8">
        <v>0</v>
      </c>
      <c r="G10" s="12">
        <v>1</v>
      </c>
      <c r="H10" s="8">
        <v>0.69</v>
      </c>
      <c r="I10" s="12">
        <v>0</v>
      </c>
    </row>
    <row r="11" spans="2:9" ht="15" customHeight="1" x14ac:dyDescent="0.2">
      <c r="B11" t="s">
        <v>57</v>
      </c>
      <c r="C11" s="12">
        <v>95</v>
      </c>
      <c r="D11" s="8">
        <v>29.23</v>
      </c>
      <c r="E11" s="12">
        <v>52</v>
      </c>
      <c r="F11" s="8">
        <v>29.71</v>
      </c>
      <c r="G11" s="12">
        <v>43</v>
      </c>
      <c r="H11" s="8">
        <v>29.86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0.62</v>
      </c>
      <c r="E12" s="12">
        <v>0</v>
      </c>
      <c r="F12" s="8">
        <v>0</v>
      </c>
      <c r="G12" s="12">
        <v>2</v>
      </c>
      <c r="H12" s="8">
        <v>1.39</v>
      </c>
      <c r="I12" s="12">
        <v>0</v>
      </c>
    </row>
    <row r="13" spans="2:9" ht="15" customHeight="1" x14ac:dyDescent="0.2">
      <c r="B13" t="s">
        <v>59</v>
      </c>
      <c r="C13" s="12">
        <v>9</v>
      </c>
      <c r="D13" s="8">
        <v>2.77</v>
      </c>
      <c r="E13" s="12">
        <v>3</v>
      </c>
      <c r="F13" s="8">
        <v>1.71</v>
      </c>
      <c r="G13" s="12">
        <v>6</v>
      </c>
      <c r="H13" s="8">
        <v>4.17</v>
      </c>
      <c r="I13" s="12">
        <v>0</v>
      </c>
    </row>
    <row r="14" spans="2:9" ht="15" customHeight="1" x14ac:dyDescent="0.2">
      <c r="B14" t="s">
        <v>60</v>
      </c>
      <c r="C14" s="12">
        <v>4</v>
      </c>
      <c r="D14" s="8">
        <v>1.23</v>
      </c>
      <c r="E14" s="12">
        <v>4</v>
      </c>
      <c r="F14" s="8">
        <v>2.29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61</v>
      </c>
      <c r="C15" s="12">
        <v>29</v>
      </c>
      <c r="D15" s="8">
        <v>8.92</v>
      </c>
      <c r="E15" s="12">
        <v>23</v>
      </c>
      <c r="F15" s="8">
        <v>13.14</v>
      </c>
      <c r="G15" s="12">
        <v>6</v>
      </c>
      <c r="H15" s="8">
        <v>4.17</v>
      </c>
      <c r="I15" s="12">
        <v>0</v>
      </c>
    </row>
    <row r="16" spans="2:9" ht="15" customHeight="1" x14ac:dyDescent="0.2">
      <c r="B16" t="s">
        <v>62</v>
      </c>
      <c r="C16" s="12">
        <v>57</v>
      </c>
      <c r="D16" s="8">
        <v>17.54</v>
      </c>
      <c r="E16" s="12">
        <v>46</v>
      </c>
      <c r="F16" s="8">
        <v>26.29</v>
      </c>
      <c r="G16" s="12">
        <v>8</v>
      </c>
      <c r="H16" s="8">
        <v>5.56</v>
      </c>
      <c r="I16" s="12">
        <v>0</v>
      </c>
    </row>
    <row r="17" spans="2:9" ht="15" customHeight="1" x14ac:dyDescent="0.2">
      <c r="B17" t="s">
        <v>63</v>
      </c>
      <c r="C17" s="12">
        <v>6</v>
      </c>
      <c r="D17" s="8">
        <v>1.85</v>
      </c>
      <c r="E17" s="12">
        <v>3</v>
      </c>
      <c r="F17" s="8">
        <v>1.71</v>
      </c>
      <c r="G17" s="12">
        <v>1</v>
      </c>
      <c r="H17" s="8">
        <v>0.69</v>
      </c>
      <c r="I17" s="12">
        <v>1</v>
      </c>
    </row>
    <row r="18" spans="2:9" ht="15" customHeight="1" x14ac:dyDescent="0.2">
      <c r="B18" t="s">
        <v>64</v>
      </c>
      <c r="C18" s="12">
        <v>23</v>
      </c>
      <c r="D18" s="8">
        <v>7.08</v>
      </c>
      <c r="E18" s="12">
        <v>9</v>
      </c>
      <c r="F18" s="8">
        <v>5.14</v>
      </c>
      <c r="G18" s="12">
        <v>14</v>
      </c>
      <c r="H18" s="8">
        <v>9.7200000000000006</v>
      </c>
      <c r="I18" s="12">
        <v>0</v>
      </c>
    </row>
    <row r="19" spans="2:9" ht="15" customHeight="1" x14ac:dyDescent="0.2">
      <c r="B19" t="s">
        <v>65</v>
      </c>
      <c r="C19" s="12">
        <v>17</v>
      </c>
      <c r="D19" s="8">
        <v>5.23</v>
      </c>
      <c r="E19" s="12">
        <v>5</v>
      </c>
      <c r="F19" s="8">
        <v>2.86</v>
      </c>
      <c r="G19" s="12">
        <v>12</v>
      </c>
      <c r="H19" s="8">
        <v>8.33</v>
      </c>
      <c r="I19" s="12">
        <v>0</v>
      </c>
    </row>
    <row r="20" spans="2:9" ht="15" customHeight="1" x14ac:dyDescent="0.2">
      <c r="B20" s="9" t="s">
        <v>281</v>
      </c>
      <c r="C20" s="12">
        <f>SUM(LTBL_43482[総数／事業所数])</f>
        <v>325</v>
      </c>
      <c r="E20" s="12">
        <f>SUBTOTAL(109,LTBL_43482[個人／事業所数])</f>
        <v>175</v>
      </c>
      <c r="G20" s="12">
        <f>SUBTOTAL(109,LTBL_43482[法人／事業所数])</f>
        <v>144</v>
      </c>
      <c r="I20" s="12">
        <f>SUBTOTAL(109,LTBL_43482[法人以外の団体／事業所数])</f>
        <v>2</v>
      </c>
    </row>
    <row r="21" spans="2:9" ht="15" customHeight="1" x14ac:dyDescent="0.2">
      <c r="E21" s="11">
        <f>LTBL_43482[[#Totals],[個人／事業所数]]/LTBL_43482[[#Totals],[総数／事業所数]]</f>
        <v>0.53846153846153844</v>
      </c>
      <c r="G21" s="11">
        <f>LTBL_43482[[#Totals],[法人／事業所数]]/LTBL_43482[[#Totals],[総数／事業所数]]</f>
        <v>0.44307692307692309</v>
      </c>
      <c r="I21" s="11">
        <f>LTBL_43482[[#Totals],[法人以外の団体／事業所数]]/LTBL_43482[[#Totals],[総数／事業所数]]</f>
        <v>6.1538461538461538E-3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51</v>
      </c>
      <c r="D24" s="8">
        <v>15.69</v>
      </c>
      <c r="E24" s="12">
        <v>43</v>
      </c>
      <c r="F24" s="8">
        <v>24.57</v>
      </c>
      <c r="G24" s="12">
        <v>6</v>
      </c>
      <c r="H24" s="8">
        <v>4.17</v>
      </c>
      <c r="I24" s="12">
        <v>0</v>
      </c>
    </row>
    <row r="25" spans="2:9" ht="15" customHeight="1" x14ac:dyDescent="0.2">
      <c r="B25" t="s">
        <v>83</v>
      </c>
      <c r="C25" s="12">
        <v>34</v>
      </c>
      <c r="D25" s="8">
        <v>10.46</v>
      </c>
      <c r="E25" s="12">
        <v>15</v>
      </c>
      <c r="F25" s="8">
        <v>8.57</v>
      </c>
      <c r="G25" s="12">
        <v>19</v>
      </c>
      <c r="H25" s="8">
        <v>13.19</v>
      </c>
      <c r="I25" s="12">
        <v>0</v>
      </c>
    </row>
    <row r="26" spans="2:9" ht="15" customHeight="1" x14ac:dyDescent="0.2">
      <c r="B26" t="s">
        <v>81</v>
      </c>
      <c r="C26" s="12">
        <v>25</v>
      </c>
      <c r="D26" s="8">
        <v>7.69</v>
      </c>
      <c r="E26" s="12">
        <v>17</v>
      </c>
      <c r="F26" s="8">
        <v>9.7100000000000009</v>
      </c>
      <c r="G26" s="12">
        <v>8</v>
      </c>
      <c r="H26" s="8">
        <v>5.56</v>
      </c>
      <c r="I26" s="12">
        <v>0</v>
      </c>
    </row>
    <row r="27" spans="2:9" ht="15" customHeight="1" x14ac:dyDescent="0.2">
      <c r="B27" t="s">
        <v>74</v>
      </c>
      <c r="C27" s="12">
        <v>21</v>
      </c>
      <c r="D27" s="8">
        <v>6.46</v>
      </c>
      <c r="E27" s="12">
        <v>7</v>
      </c>
      <c r="F27" s="8">
        <v>4</v>
      </c>
      <c r="G27" s="12">
        <v>14</v>
      </c>
      <c r="H27" s="8">
        <v>9.7200000000000006</v>
      </c>
      <c r="I27" s="12">
        <v>0</v>
      </c>
    </row>
    <row r="28" spans="2:9" ht="15" customHeight="1" x14ac:dyDescent="0.2">
      <c r="B28" t="s">
        <v>88</v>
      </c>
      <c r="C28" s="12">
        <v>21</v>
      </c>
      <c r="D28" s="8">
        <v>6.46</v>
      </c>
      <c r="E28" s="12">
        <v>20</v>
      </c>
      <c r="F28" s="8">
        <v>11.43</v>
      </c>
      <c r="G28" s="12">
        <v>1</v>
      </c>
      <c r="H28" s="8">
        <v>0.69</v>
      </c>
      <c r="I28" s="12">
        <v>0</v>
      </c>
    </row>
    <row r="29" spans="2:9" ht="15" customHeight="1" x14ac:dyDescent="0.2">
      <c r="B29" t="s">
        <v>76</v>
      </c>
      <c r="C29" s="12">
        <v>18</v>
      </c>
      <c r="D29" s="8">
        <v>5.54</v>
      </c>
      <c r="E29" s="12">
        <v>4</v>
      </c>
      <c r="F29" s="8">
        <v>2.29</v>
      </c>
      <c r="G29" s="12">
        <v>14</v>
      </c>
      <c r="H29" s="8">
        <v>9.7200000000000006</v>
      </c>
      <c r="I29" s="12">
        <v>0</v>
      </c>
    </row>
    <row r="30" spans="2:9" ht="15" customHeight="1" x14ac:dyDescent="0.2">
      <c r="B30" t="s">
        <v>82</v>
      </c>
      <c r="C30" s="12">
        <v>13</v>
      </c>
      <c r="D30" s="8">
        <v>4</v>
      </c>
      <c r="E30" s="12">
        <v>9</v>
      </c>
      <c r="F30" s="8">
        <v>5.14</v>
      </c>
      <c r="G30" s="12">
        <v>4</v>
      </c>
      <c r="H30" s="8">
        <v>2.78</v>
      </c>
      <c r="I30" s="12">
        <v>0</v>
      </c>
    </row>
    <row r="31" spans="2:9" ht="15" customHeight="1" x14ac:dyDescent="0.2">
      <c r="B31" t="s">
        <v>75</v>
      </c>
      <c r="C31" s="12">
        <v>12</v>
      </c>
      <c r="D31" s="8">
        <v>3.69</v>
      </c>
      <c r="E31" s="12">
        <v>9</v>
      </c>
      <c r="F31" s="8">
        <v>5.14</v>
      </c>
      <c r="G31" s="12">
        <v>3</v>
      </c>
      <c r="H31" s="8">
        <v>2.08</v>
      </c>
      <c r="I31" s="12">
        <v>0</v>
      </c>
    </row>
    <row r="32" spans="2:9" ht="15" customHeight="1" x14ac:dyDescent="0.2">
      <c r="B32" t="s">
        <v>92</v>
      </c>
      <c r="C32" s="12">
        <v>12</v>
      </c>
      <c r="D32" s="8">
        <v>3.69</v>
      </c>
      <c r="E32" s="12">
        <v>0</v>
      </c>
      <c r="F32" s="8">
        <v>0</v>
      </c>
      <c r="G32" s="12">
        <v>12</v>
      </c>
      <c r="H32" s="8">
        <v>8.33</v>
      </c>
      <c r="I32" s="12">
        <v>0</v>
      </c>
    </row>
    <row r="33" spans="2:9" ht="15" customHeight="1" x14ac:dyDescent="0.2">
      <c r="B33" t="s">
        <v>93</v>
      </c>
      <c r="C33" s="12">
        <v>12</v>
      </c>
      <c r="D33" s="8">
        <v>3.69</v>
      </c>
      <c r="E33" s="12">
        <v>5</v>
      </c>
      <c r="F33" s="8">
        <v>2.86</v>
      </c>
      <c r="G33" s="12">
        <v>7</v>
      </c>
      <c r="H33" s="8">
        <v>4.8600000000000003</v>
      </c>
      <c r="I33" s="12">
        <v>0</v>
      </c>
    </row>
    <row r="34" spans="2:9" ht="15" customHeight="1" x14ac:dyDescent="0.2">
      <c r="B34" t="s">
        <v>91</v>
      </c>
      <c r="C34" s="12">
        <v>11</v>
      </c>
      <c r="D34" s="8">
        <v>3.38</v>
      </c>
      <c r="E34" s="12">
        <v>9</v>
      </c>
      <c r="F34" s="8">
        <v>5.14</v>
      </c>
      <c r="G34" s="12">
        <v>2</v>
      </c>
      <c r="H34" s="8">
        <v>1.39</v>
      </c>
      <c r="I34" s="12">
        <v>0</v>
      </c>
    </row>
    <row r="35" spans="2:9" ht="15" customHeight="1" x14ac:dyDescent="0.2">
      <c r="B35" t="s">
        <v>80</v>
      </c>
      <c r="C35" s="12">
        <v>8</v>
      </c>
      <c r="D35" s="8">
        <v>2.46</v>
      </c>
      <c r="E35" s="12">
        <v>5</v>
      </c>
      <c r="F35" s="8">
        <v>2.86</v>
      </c>
      <c r="G35" s="12">
        <v>3</v>
      </c>
      <c r="H35" s="8">
        <v>2.08</v>
      </c>
      <c r="I35" s="12">
        <v>0</v>
      </c>
    </row>
    <row r="36" spans="2:9" ht="15" customHeight="1" x14ac:dyDescent="0.2">
      <c r="B36" t="s">
        <v>85</v>
      </c>
      <c r="C36" s="12">
        <v>7</v>
      </c>
      <c r="D36" s="8">
        <v>2.15</v>
      </c>
      <c r="E36" s="12">
        <v>3</v>
      </c>
      <c r="F36" s="8">
        <v>1.71</v>
      </c>
      <c r="G36" s="12">
        <v>4</v>
      </c>
      <c r="H36" s="8">
        <v>2.78</v>
      </c>
      <c r="I36" s="12">
        <v>0</v>
      </c>
    </row>
    <row r="37" spans="2:9" ht="15" customHeight="1" x14ac:dyDescent="0.2">
      <c r="B37" t="s">
        <v>90</v>
      </c>
      <c r="C37" s="12">
        <v>6</v>
      </c>
      <c r="D37" s="8">
        <v>1.85</v>
      </c>
      <c r="E37" s="12">
        <v>3</v>
      </c>
      <c r="F37" s="8">
        <v>1.71</v>
      </c>
      <c r="G37" s="12">
        <v>1</v>
      </c>
      <c r="H37" s="8">
        <v>0.69</v>
      </c>
      <c r="I37" s="12">
        <v>1</v>
      </c>
    </row>
    <row r="38" spans="2:9" ht="15" customHeight="1" x14ac:dyDescent="0.2">
      <c r="B38" t="s">
        <v>77</v>
      </c>
      <c r="C38" s="12">
        <v>5</v>
      </c>
      <c r="D38" s="8">
        <v>1.54</v>
      </c>
      <c r="E38" s="12">
        <v>0</v>
      </c>
      <c r="F38" s="8">
        <v>0</v>
      </c>
      <c r="G38" s="12">
        <v>4</v>
      </c>
      <c r="H38" s="8">
        <v>2.78</v>
      </c>
      <c r="I38" s="12">
        <v>1</v>
      </c>
    </row>
    <row r="39" spans="2:9" ht="15" customHeight="1" x14ac:dyDescent="0.2">
      <c r="B39" t="s">
        <v>125</v>
      </c>
      <c r="C39" s="12">
        <v>5</v>
      </c>
      <c r="D39" s="8">
        <v>1.54</v>
      </c>
      <c r="E39" s="12">
        <v>5</v>
      </c>
      <c r="F39" s="8">
        <v>2.86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99</v>
      </c>
      <c r="C40" s="12">
        <v>5</v>
      </c>
      <c r="D40" s="8">
        <v>1.54</v>
      </c>
      <c r="E40" s="12">
        <v>2</v>
      </c>
      <c r="F40" s="8">
        <v>1.1399999999999999</v>
      </c>
      <c r="G40" s="12">
        <v>3</v>
      </c>
      <c r="H40" s="8">
        <v>2.08</v>
      </c>
      <c r="I40" s="12">
        <v>0</v>
      </c>
    </row>
    <row r="41" spans="2:9" ht="15" customHeight="1" x14ac:dyDescent="0.2">
      <c r="B41" t="s">
        <v>106</v>
      </c>
      <c r="C41" s="12">
        <v>5</v>
      </c>
      <c r="D41" s="8">
        <v>1.54</v>
      </c>
      <c r="E41" s="12">
        <v>2</v>
      </c>
      <c r="F41" s="8">
        <v>1.1399999999999999</v>
      </c>
      <c r="G41" s="12">
        <v>3</v>
      </c>
      <c r="H41" s="8">
        <v>2.08</v>
      </c>
      <c r="I41" s="12">
        <v>0</v>
      </c>
    </row>
    <row r="42" spans="2:9" ht="15" customHeight="1" x14ac:dyDescent="0.2">
      <c r="B42" t="s">
        <v>108</v>
      </c>
      <c r="C42" s="12">
        <v>4</v>
      </c>
      <c r="D42" s="8">
        <v>1.23</v>
      </c>
      <c r="E42" s="12">
        <v>1</v>
      </c>
      <c r="F42" s="8">
        <v>0.56999999999999995</v>
      </c>
      <c r="G42" s="12">
        <v>3</v>
      </c>
      <c r="H42" s="8">
        <v>2.08</v>
      </c>
      <c r="I42" s="12">
        <v>0</v>
      </c>
    </row>
    <row r="43" spans="2:9" ht="15" customHeight="1" x14ac:dyDescent="0.2">
      <c r="B43" t="s">
        <v>116</v>
      </c>
      <c r="C43" s="12">
        <v>4</v>
      </c>
      <c r="D43" s="8">
        <v>1.23</v>
      </c>
      <c r="E43" s="12">
        <v>0</v>
      </c>
      <c r="F43" s="8">
        <v>0</v>
      </c>
      <c r="G43" s="12">
        <v>4</v>
      </c>
      <c r="H43" s="8">
        <v>2.78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25</v>
      </c>
      <c r="D47" s="8">
        <v>7.69</v>
      </c>
      <c r="E47" s="12">
        <v>22</v>
      </c>
      <c r="F47" s="8">
        <v>12.57</v>
      </c>
      <c r="G47" s="12">
        <v>3</v>
      </c>
      <c r="H47" s="8">
        <v>2.08</v>
      </c>
      <c r="I47" s="12">
        <v>0</v>
      </c>
    </row>
    <row r="48" spans="2:9" ht="15" customHeight="1" x14ac:dyDescent="0.2">
      <c r="B48" t="s">
        <v>150</v>
      </c>
      <c r="C48" s="12">
        <v>16</v>
      </c>
      <c r="D48" s="8">
        <v>4.92</v>
      </c>
      <c r="E48" s="12">
        <v>15</v>
      </c>
      <c r="F48" s="8">
        <v>8.57</v>
      </c>
      <c r="G48" s="12">
        <v>1</v>
      </c>
      <c r="H48" s="8">
        <v>0.69</v>
      </c>
      <c r="I48" s="12">
        <v>0</v>
      </c>
    </row>
    <row r="49" spans="2:9" ht="15" customHeight="1" x14ac:dyDescent="0.2">
      <c r="B49" t="s">
        <v>154</v>
      </c>
      <c r="C49" s="12">
        <v>12</v>
      </c>
      <c r="D49" s="8">
        <v>3.69</v>
      </c>
      <c r="E49" s="12">
        <v>5</v>
      </c>
      <c r="F49" s="8">
        <v>2.86</v>
      </c>
      <c r="G49" s="12">
        <v>7</v>
      </c>
      <c r="H49" s="8">
        <v>4.8600000000000003</v>
      </c>
      <c r="I49" s="12">
        <v>0</v>
      </c>
    </row>
    <row r="50" spans="2:9" ht="15" customHeight="1" x14ac:dyDescent="0.2">
      <c r="B50" t="s">
        <v>138</v>
      </c>
      <c r="C50" s="12">
        <v>11</v>
      </c>
      <c r="D50" s="8">
        <v>3.38</v>
      </c>
      <c r="E50" s="12">
        <v>3</v>
      </c>
      <c r="F50" s="8">
        <v>1.71</v>
      </c>
      <c r="G50" s="12">
        <v>8</v>
      </c>
      <c r="H50" s="8">
        <v>5.56</v>
      </c>
      <c r="I50" s="12">
        <v>0</v>
      </c>
    </row>
    <row r="51" spans="2:9" ht="15" customHeight="1" x14ac:dyDescent="0.2">
      <c r="B51" t="s">
        <v>140</v>
      </c>
      <c r="C51" s="12">
        <v>11</v>
      </c>
      <c r="D51" s="8">
        <v>3.38</v>
      </c>
      <c r="E51" s="12">
        <v>10</v>
      </c>
      <c r="F51" s="8">
        <v>5.71</v>
      </c>
      <c r="G51" s="12">
        <v>1</v>
      </c>
      <c r="H51" s="8">
        <v>0.69</v>
      </c>
      <c r="I51" s="12">
        <v>0</v>
      </c>
    </row>
    <row r="52" spans="2:9" ht="15" customHeight="1" x14ac:dyDescent="0.2">
      <c r="B52" t="s">
        <v>135</v>
      </c>
      <c r="C52" s="12">
        <v>10</v>
      </c>
      <c r="D52" s="8">
        <v>3.08</v>
      </c>
      <c r="E52" s="12">
        <v>1</v>
      </c>
      <c r="F52" s="8">
        <v>0.56999999999999995</v>
      </c>
      <c r="G52" s="12">
        <v>9</v>
      </c>
      <c r="H52" s="8">
        <v>6.25</v>
      </c>
      <c r="I52" s="12">
        <v>0</v>
      </c>
    </row>
    <row r="53" spans="2:9" ht="15" customHeight="1" x14ac:dyDescent="0.2">
      <c r="B53" t="s">
        <v>148</v>
      </c>
      <c r="C53" s="12">
        <v>10</v>
      </c>
      <c r="D53" s="8">
        <v>3.08</v>
      </c>
      <c r="E53" s="12">
        <v>10</v>
      </c>
      <c r="F53" s="8">
        <v>5.71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153</v>
      </c>
      <c r="C54" s="12">
        <v>9</v>
      </c>
      <c r="D54" s="8">
        <v>2.77</v>
      </c>
      <c r="E54" s="12">
        <v>8</v>
      </c>
      <c r="F54" s="8">
        <v>4.57</v>
      </c>
      <c r="G54" s="12">
        <v>1</v>
      </c>
      <c r="H54" s="8">
        <v>0.69</v>
      </c>
      <c r="I54" s="12">
        <v>0</v>
      </c>
    </row>
    <row r="55" spans="2:9" ht="15" customHeight="1" x14ac:dyDescent="0.2">
      <c r="B55" t="s">
        <v>141</v>
      </c>
      <c r="C55" s="12">
        <v>8</v>
      </c>
      <c r="D55" s="8">
        <v>2.46</v>
      </c>
      <c r="E55" s="12">
        <v>5</v>
      </c>
      <c r="F55" s="8">
        <v>2.86</v>
      </c>
      <c r="G55" s="12">
        <v>3</v>
      </c>
      <c r="H55" s="8">
        <v>2.08</v>
      </c>
      <c r="I55" s="12">
        <v>0</v>
      </c>
    </row>
    <row r="56" spans="2:9" ht="15" customHeight="1" x14ac:dyDescent="0.2">
      <c r="B56" t="s">
        <v>142</v>
      </c>
      <c r="C56" s="12">
        <v>8</v>
      </c>
      <c r="D56" s="8">
        <v>2.46</v>
      </c>
      <c r="E56" s="12">
        <v>4</v>
      </c>
      <c r="F56" s="8">
        <v>2.29</v>
      </c>
      <c r="G56" s="12">
        <v>4</v>
      </c>
      <c r="H56" s="8">
        <v>2.78</v>
      </c>
      <c r="I56" s="12">
        <v>0</v>
      </c>
    </row>
    <row r="57" spans="2:9" ht="15" customHeight="1" x14ac:dyDescent="0.2">
      <c r="B57" t="s">
        <v>137</v>
      </c>
      <c r="C57" s="12">
        <v>7</v>
      </c>
      <c r="D57" s="8">
        <v>2.15</v>
      </c>
      <c r="E57" s="12">
        <v>6</v>
      </c>
      <c r="F57" s="8">
        <v>3.43</v>
      </c>
      <c r="G57" s="12">
        <v>1</v>
      </c>
      <c r="H57" s="8">
        <v>0.69</v>
      </c>
      <c r="I57" s="12">
        <v>0</v>
      </c>
    </row>
    <row r="58" spans="2:9" ht="15" customHeight="1" x14ac:dyDescent="0.2">
      <c r="B58" t="s">
        <v>174</v>
      </c>
      <c r="C58" s="12">
        <v>6</v>
      </c>
      <c r="D58" s="8">
        <v>1.85</v>
      </c>
      <c r="E58" s="12">
        <v>1</v>
      </c>
      <c r="F58" s="8">
        <v>0.56999999999999995</v>
      </c>
      <c r="G58" s="12">
        <v>5</v>
      </c>
      <c r="H58" s="8">
        <v>3.47</v>
      </c>
      <c r="I58" s="12">
        <v>0</v>
      </c>
    </row>
    <row r="59" spans="2:9" ht="15" customHeight="1" x14ac:dyDescent="0.2">
      <c r="B59" t="s">
        <v>168</v>
      </c>
      <c r="C59" s="12">
        <v>6</v>
      </c>
      <c r="D59" s="8">
        <v>1.85</v>
      </c>
      <c r="E59" s="12">
        <v>0</v>
      </c>
      <c r="F59" s="8">
        <v>0</v>
      </c>
      <c r="G59" s="12">
        <v>6</v>
      </c>
      <c r="H59" s="8">
        <v>4.17</v>
      </c>
      <c r="I59" s="12">
        <v>0</v>
      </c>
    </row>
    <row r="60" spans="2:9" ht="15" customHeight="1" x14ac:dyDescent="0.2">
      <c r="B60" t="s">
        <v>143</v>
      </c>
      <c r="C60" s="12">
        <v>6</v>
      </c>
      <c r="D60" s="8">
        <v>1.85</v>
      </c>
      <c r="E60" s="12">
        <v>2</v>
      </c>
      <c r="F60" s="8">
        <v>1.1399999999999999</v>
      </c>
      <c r="G60" s="12">
        <v>4</v>
      </c>
      <c r="H60" s="8">
        <v>2.78</v>
      </c>
      <c r="I60" s="12">
        <v>0</v>
      </c>
    </row>
    <row r="61" spans="2:9" ht="15" customHeight="1" x14ac:dyDescent="0.2">
      <c r="B61" t="s">
        <v>147</v>
      </c>
      <c r="C61" s="12">
        <v>6</v>
      </c>
      <c r="D61" s="8">
        <v>1.85</v>
      </c>
      <c r="E61" s="12">
        <v>6</v>
      </c>
      <c r="F61" s="8">
        <v>3.43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180</v>
      </c>
      <c r="C62" s="12">
        <v>6</v>
      </c>
      <c r="D62" s="8">
        <v>1.85</v>
      </c>
      <c r="E62" s="12">
        <v>0</v>
      </c>
      <c r="F62" s="8">
        <v>0</v>
      </c>
      <c r="G62" s="12">
        <v>6</v>
      </c>
      <c r="H62" s="8">
        <v>4.17</v>
      </c>
      <c r="I62" s="12">
        <v>0</v>
      </c>
    </row>
    <row r="63" spans="2:9" ht="15" customHeight="1" x14ac:dyDescent="0.2">
      <c r="B63" t="s">
        <v>163</v>
      </c>
      <c r="C63" s="12">
        <v>5</v>
      </c>
      <c r="D63" s="8">
        <v>1.54</v>
      </c>
      <c r="E63" s="12">
        <v>1</v>
      </c>
      <c r="F63" s="8">
        <v>0.56999999999999995</v>
      </c>
      <c r="G63" s="12">
        <v>4</v>
      </c>
      <c r="H63" s="8">
        <v>2.78</v>
      </c>
      <c r="I63" s="12">
        <v>0</v>
      </c>
    </row>
    <row r="64" spans="2:9" ht="15" customHeight="1" x14ac:dyDescent="0.2">
      <c r="B64" t="s">
        <v>167</v>
      </c>
      <c r="C64" s="12">
        <v>5</v>
      </c>
      <c r="D64" s="8">
        <v>1.54</v>
      </c>
      <c r="E64" s="12">
        <v>4</v>
      </c>
      <c r="F64" s="8">
        <v>2.29</v>
      </c>
      <c r="G64" s="12">
        <v>1</v>
      </c>
      <c r="H64" s="8">
        <v>0.69</v>
      </c>
      <c r="I64" s="12">
        <v>0</v>
      </c>
    </row>
    <row r="65" spans="2:9" ht="15" customHeight="1" x14ac:dyDescent="0.2">
      <c r="B65" t="s">
        <v>145</v>
      </c>
      <c r="C65" s="12">
        <v>5</v>
      </c>
      <c r="D65" s="8">
        <v>1.54</v>
      </c>
      <c r="E65" s="12">
        <v>3</v>
      </c>
      <c r="F65" s="8">
        <v>1.71</v>
      </c>
      <c r="G65" s="12">
        <v>2</v>
      </c>
      <c r="H65" s="8">
        <v>1.39</v>
      </c>
      <c r="I65" s="12">
        <v>0</v>
      </c>
    </row>
    <row r="66" spans="2:9" ht="15" customHeight="1" x14ac:dyDescent="0.2">
      <c r="B66" t="s">
        <v>176</v>
      </c>
      <c r="C66" s="12">
        <v>5</v>
      </c>
      <c r="D66" s="8">
        <v>1.54</v>
      </c>
      <c r="E66" s="12">
        <v>0</v>
      </c>
      <c r="F66" s="8">
        <v>0</v>
      </c>
      <c r="G66" s="12">
        <v>5</v>
      </c>
      <c r="H66" s="8">
        <v>3.47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9239-0DFE-4AF1-B8A3-F58B75A9665E}">
  <sheetPr>
    <pageSetUpPr fitToPage="1"/>
  </sheetPr>
  <dimension ref="B2:I10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</v>
      </c>
      <c r="D6" s="8">
        <v>15.38</v>
      </c>
      <c r="E6" s="12">
        <v>5</v>
      </c>
      <c r="F6" s="8">
        <v>12.2</v>
      </c>
      <c r="G6" s="12">
        <v>7</v>
      </c>
      <c r="H6" s="8">
        <v>21.21</v>
      </c>
      <c r="I6" s="12">
        <v>0</v>
      </c>
    </row>
    <row r="7" spans="2:9" ht="15" customHeight="1" x14ac:dyDescent="0.2">
      <c r="B7" t="s">
        <v>53</v>
      </c>
      <c r="C7" s="12">
        <v>13</v>
      </c>
      <c r="D7" s="8">
        <v>16.670000000000002</v>
      </c>
      <c r="E7" s="12">
        <v>5</v>
      </c>
      <c r="F7" s="8">
        <v>12.2</v>
      </c>
      <c r="G7" s="12">
        <v>8</v>
      </c>
      <c r="H7" s="8">
        <v>24.24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1.28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1.28</v>
      </c>
      <c r="E9" s="12">
        <v>0</v>
      </c>
      <c r="F9" s="8">
        <v>0</v>
      </c>
      <c r="G9" s="12">
        <v>1</v>
      </c>
      <c r="H9" s="8">
        <v>3.03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1.28</v>
      </c>
      <c r="E10" s="12">
        <v>0</v>
      </c>
      <c r="F10" s="8">
        <v>0</v>
      </c>
      <c r="G10" s="12">
        <v>1</v>
      </c>
      <c r="H10" s="8">
        <v>3.03</v>
      </c>
      <c r="I10" s="12">
        <v>0</v>
      </c>
    </row>
    <row r="11" spans="2:9" ht="15" customHeight="1" x14ac:dyDescent="0.2">
      <c r="B11" t="s">
        <v>57</v>
      </c>
      <c r="C11" s="12">
        <v>17</v>
      </c>
      <c r="D11" s="8">
        <v>21.79</v>
      </c>
      <c r="E11" s="12">
        <v>7</v>
      </c>
      <c r="F11" s="8">
        <v>17.07</v>
      </c>
      <c r="G11" s="12">
        <v>10</v>
      </c>
      <c r="H11" s="8">
        <v>30.3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2.56</v>
      </c>
      <c r="E12" s="12">
        <v>0</v>
      </c>
      <c r="F12" s="8">
        <v>0</v>
      </c>
      <c r="G12" s="12">
        <v>2</v>
      </c>
      <c r="H12" s="8">
        <v>6.06</v>
      </c>
      <c r="I12" s="12">
        <v>0</v>
      </c>
    </row>
    <row r="13" spans="2:9" ht="15" customHeight="1" x14ac:dyDescent="0.2">
      <c r="B13" t="s">
        <v>59</v>
      </c>
      <c r="C13" s="12">
        <v>2</v>
      </c>
      <c r="D13" s="8">
        <v>2.56</v>
      </c>
      <c r="E13" s="12">
        <v>1</v>
      </c>
      <c r="F13" s="8">
        <v>2.44</v>
      </c>
      <c r="G13" s="12">
        <v>1</v>
      </c>
      <c r="H13" s="8">
        <v>3.03</v>
      </c>
      <c r="I13" s="12">
        <v>0</v>
      </c>
    </row>
    <row r="14" spans="2:9" ht="15" customHeight="1" x14ac:dyDescent="0.2">
      <c r="B14" t="s">
        <v>60</v>
      </c>
      <c r="C14" s="12">
        <v>1</v>
      </c>
      <c r="D14" s="8">
        <v>1.28</v>
      </c>
      <c r="E14" s="12">
        <v>0</v>
      </c>
      <c r="F14" s="8">
        <v>0</v>
      </c>
      <c r="G14" s="12">
        <v>1</v>
      </c>
      <c r="H14" s="8">
        <v>3.03</v>
      </c>
      <c r="I14" s="12">
        <v>0</v>
      </c>
    </row>
    <row r="15" spans="2:9" ht="15" customHeight="1" x14ac:dyDescent="0.2">
      <c r="B15" t="s">
        <v>61</v>
      </c>
      <c r="C15" s="12">
        <v>4</v>
      </c>
      <c r="D15" s="8">
        <v>5.13</v>
      </c>
      <c r="E15" s="12">
        <v>4</v>
      </c>
      <c r="F15" s="8">
        <v>9.76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62</v>
      </c>
      <c r="C16" s="12">
        <v>12</v>
      </c>
      <c r="D16" s="8">
        <v>15.38</v>
      </c>
      <c r="E16" s="12">
        <v>12</v>
      </c>
      <c r="F16" s="8">
        <v>29.27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2</v>
      </c>
      <c r="D17" s="8">
        <v>2.56</v>
      </c>
      <c r="E17" s="12">
        <v>0</v>
      </c>
      <c r="F17" s="8">
        <v>0</v>
      </c>
      <c r="G17" s="12">
        <v>1</v>
      </c>
      <c r="H17" s="8">
        <v>3.03</v>
      </c>
      <c r="I17" s="12">
        <v>0</v>
      </c>
    </row>
    <row r="18" spans="2:9" ht="15" customHeight="1" x14ac:dyDescent="0.2">
      <c r="B18" t="s">
        <v>64</v>
      </c>
      <c r="C18" s="12">
        <v>4</v>
      </c>
      <c r="D18" s="8">
        <v>5.13</v>
      </c>
      <c r="E18" s="12">
        <v>4</v>
      </c>
      <c r="F18" s="8">
        <v>9.76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6</v>
      </c>
      <c r="D19" s="8">
        <v>7.69</v>
      </c>
      <c r="E19" s="12">
        <v>3</v>
      </c>
      <c r="F19" s="8">
        <v>7.32</v>
      </c>
      <c r="G19" s="12">
        <v>1</v>
      </c>
      <c r="H19" s="8">
        <v>3.03</v>
      </c>
      <c r="I19" s="12">
        <v>0</v>
      </c>
    </row>
    <row r="20" spans="2:9" ht="15" customHeight="1" x14ac:dyDescent="0.2">
      <c r="B20" s="9" t="s">
        <v>281</v>
      </c>
      <c r="C20" s="12">
        <f>SUM(LTBL_43484[総数／事業所数])</f>
        <v>78</v>
      </c>
      <c r="E20" s="12">
        <f>SUBTOTAL(109,LTBL_43484[個人／事業所数])</f>
        <v>41</v>
      </c>
      <c r="G20" s="12">
        <f>SUBTOTAL(109,LTBL_43484[法人／事業所数])</f>
        <v>33</v>
      </c>
      <c r="I20" s="12">
        <f>SUBTOTAL(109,LTBL_43484[法人以外の団体／事業所数])</f>
        <v>0</v>
      </c>
    </row>
    <row r="21" spans="2:9" ht="15" customHeight="1" x14ac:dyDescent="0.2">
      <c r="E21" s="11">
        <f>LTBL_43484[[#Totals],[個人／事業所数]]/LTBL_43484[[#Totals],[総数／事業所数]]</f>
        <v>0.52564102564102566</v>
      </c>
      <c r="G21" s="11">
        <f>LTBL_43484[[#Totals],[法人／事業所数]]/LTBL_43484[[#Totals],[総数／事業所数]]</f>
        <v>0.42307692307692307</v>
      </c>
      <c r="I21" s="11">
        <f>LTBL_43484[[#Totals],[法人以外の団体／事業所数]]/LTBL_43484[[#Totals],[総数／事業所数]]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12</v>
      </c>
      <c r="D24" s="8">
        <v>15.38</v>
      </c>
      <c r="E24" s="12">
        <v>12</v>
      </c>
      <c r="F24" s="8">
        <v>29.27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81</v>
      </c>
      <c r="C25" s="12">
        <v>7</v>
      </c>
      <c r="D25" s="8">
        <v>8.9700000000000006</v>
      </c>
      <c r="E25" s="12">
        <v>3</v>
      </c>
      <c r="F25" s="8">
        <v>7.32</v>
      </c>
      <c r="G25" s="12">
        <v>4</v>
      </c>
      <c r="H25" s="8">
        <v>12.12</v>
      </c>
      <c r="I25" s="12">
        <v>0</v>
      </c>
    </row>
    <row r="26" spans="2:9" ht="15" customHeight="1" x14ac:dyDescent="0.2">
      <c r="B26" t="s">
        <v>74</v>
      </c>
      <c r="C26" s="12">
        <v>5</v>
      </c>
      <c r="D26" s="8">
        <v>6.41</v>
      </c>
      <c r="E26" s="12">
        <v>1</v>
      </c>
      <c r="F26" s="8">
        <v>2.44</v>
      </c>
      <c r="G26" s="12">
        <v>4</v>
      </c>
      <c r="H26" s="8">
        <v>12.12</v>
      </c>
      <c r="I26" s="12">
        <v>0</v>
      </c>
    </row>
    <row r="27" spans="2:9" ht="15" customHeight="1" x14ac:dyDescent="0.2">
      <c r="B27" t="s">
        <v>76</v>
      </c>
      <c r="C27" s="12">
        <v>5</v>
      </c>
      <c r="D27" s="8">
        <v>6.41</v>
      </c>
      <c r="E27" s="12">
        <v>2</v>
      </c>
      <c r="F27" s="8">
        <v>4.88</v>
      </c>
      <c r="G27" s="12">
        <v>3</v>
      </c>
      <c r="H27" s="8">
        <v>9.09</v>
      </c>
      <c r="I27" s="12">
        <v>0</v>
      </c>
    </row>
    <row r="28" spans="2:9" ht="15" customHeight="1" x14ac:dyDescent="0.2">
      <c r="B28" t="s">
        <v>111</v>
      </c>
      <c r="C28" s="12">
        <v>5</v>
      </c>
      <c r="D28" s="8">
        <v>6.41</v>
      </c>
      <c r="E28" s="12">
        <v>0</v>
      </c>
      <c r="F28" s="8">
        <v>0</v>
      </c>
      <c r="G28" s="12">
        <v>5</v>
      </c>
      <c r="H28" s="8">
        <v>15.15</v>
      </c>
      <c r="I28" s="12">
        <v>0</v>
      </c>
    </row>
    <row r="29" spans="2:9" ht="15" customHeight="1" x14ac:dyDescent="0.2">
      <c r="B29" t="s">
        <v>82</v>
      </c>
      <c r="C29" s="12">
        <v>5</v>
      </c>
      <c r="D29" s="8">
        <v>6.41</v>
      </c>
      <c r="E29" s="12">
        <v>3</v>
      </c>
      <c r="F29" s="8">
        <v>7.32</v>
      </c>
      <c r="G29" s="12">
        <v>2</v>
      </c>
      <c r="H29" s="8">
        <v>6.06</v>
      </c>
      <c r="I29" s="12">
        <v>0</v>
      </c>
    </row>
    <row r="30" spans="2:9" ht="15" customHeight="1" x14ac:dyDescent="0.2">
      <c r="B30" t="s">
        <v>88</v>
      </c>
      <c r="C30" s="12">
        <v>4</v>
      </c>
      <c r="D30" s="8">
        <v>5.13</v>
      </c>
      <c r="E30" s="12">
        <v>4</v>
      </c>
      <c r="F30" s="8">
        <v>9.76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91</v>
      </c>
      <c r="C31" s="12">
        <v>4</v>
      </c>
      <c r="D31" s="8">
        <v>5.13</v>
      </c>
      <c r="E31" s="12">
        <v>4</v>
      </c>
      <c r="F31" s="8">
        <v>9.76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93</v>
      </c>
      <c r="C32" s="12">
        <v>3</v>
      </c>
      <c r="D32" s="8">
        <v>3.85</v>
      </c>
      <c r="E32" s="12">
        <v>3</v>
      </c>
      <c r="F32" s="8">
        <v>7.32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75</v>
      </c>
      <c r="C33" s="12">
        <v>2</v>
      </c>
      <c r="D33" s="8">
        <v>2.56</v>
      </c>
      <c r="E33" s="12">
        <v>2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77</v>
      </c>
      <c r="C34" s="12">
        <v>2</v>
      </c>
      <c r="D34" s="8">
        <v>2.56</v>
      </c>
      <c r="E34" s="12">
        <v>2</v>
      </c>
      <c r="F34" s="8">
        <v>4.88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102</v>
      </c>
      <c r="C35" s="12">
        <v>2</v>
      </c>
      <c r="D35" s="8">
        <v>2.56</v>
      </c>
      <c r="E35" s="12">
        <v>0</v>
      </c>
      <c r="F35" s="8">
        <v>0</v>
      </c>
      <c r="G35" s="12">
        <v>2</v>
      </c>
      <c r="H35" s="8">
        <v>6.06</v>
      </c>
      <c r="I35" s="12">
        <v>0</v>
      </c>
    </row>
    <row r="36" spans="2:9" ht="15" customHeight="1" x14ac:dyDescent="0.2">
      <c r="B36" t="s">
        <v>83</v>
      </c>
      <c r="C36" s="12">
        <v>2</v>
      </c>
      <c r="D36" s="8">
        <v>2.56</v>
      </c>
      <c r="E36" s="12">
        <v>0</v>
      </c>
      <c r="F36" s="8">
        <v>0</v>
      </c>
      <c r="G36" s="12">
        <v>2</v>
      </c>
      <c r="H36" s="8">
        <v>6.06</v>
      </c>
      <c r="I36" s="12">
        <v>0</v>
      </c>
    </row>
    <row r="37" spans="2:9" ht="15" customHeight="1" x14ac:dyDescent="0.2">
      <c r="B37" t="s">
        <v>96</v>
      </c>
      <c r="C37" s="12">
        <v>2</v>
      </c>
      <c r="D37" s="8">
        <v>2.56</v>
      </c>
      <c r="E37" s="12">
        <v>0</v>
      </c>
      <c r="F37" s="8">
        <v>0</v>
      </c>
      <c r="G37" s="12">
        <v>2</v>
      </c>
      <c r="H37" s="8">
        <v>6.06</v>
      </c>
      <c r="I37" s="12">
        <v>0</v>
      </c>
    </row>
    <row r="38" spans="2:9" ht="15" customHeight="1" x14ac:dyDescent="0.2">
      <c r="B38" t="s">
        <v>90</v>
      </c>
      <c r="C38" s="12">
        <v>2</v>
      </c>
      <c r="D38" s="8">
        <v>2.56</v>
      </c>
      <c r="E38" s="12">
        <v>0</v>
      </c>
      <c r="F38" s="8">
        <v>0</v>
      </c>
      <c r="G38" s="12">
        <v>1</v>
      </c>
      <c r="H38" s="8">
        <v>3.03</v>
      </c>
      <c r="I38" s="12">
        <v>0</v>
      </c>
    </row>
    <row r="39" spans="2:9" ht="15" customHeight="1" x14ac:dyDescent="0.2">
      <c r="B39" t="s">
        <v>109</v>
      </c>
      <c r="C39" s="12">
        <v>1</v>
      </c>
      <c r="D39" s="8">
        <v>1.28</v>
      </c>
      <c r="E39" s="12">
        <v>1</v>
      </c>
      <c r="F39" s="8">
        <v>2.44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128</v>
      </c>
      <c r="C40" s="12">
        <v>1</v>
      </c>
      <c r="D40" s="8">
        <v>1.28</v>
      </c>
      <c r="E40" s="12">
        <v>0</v>
      </c>
      <c r="F40" s="8">
        <v>0</v>
      </c>
      <c r="G40" s="12">
        <v>1</v>
      </c>
      <c r="H40" s="8">
        <v>3.03</v>
      </c>
      <c r="I40" s="12">
        <v>0</v>
      </c>
    </row>
    <row r="41" spans="2:9" ht="15" customHeight="1" x14ac:dyDescent="0.2">
      <c r="B41" t="s">
        <v>104</v>
      </c>
      <c r="C41" s="12">
        <v>1</v>
      </c>
      <c r="D41" s="8">
        <v>1.28</v>
      </c>
      <c r="E41" s="12">
        <v>1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125</v>
      </c>
      <c r="C42" s="12">
        <v>1</v>
      </c>
      <c r="D42" s="8">
        <v>1.28</v>
      </c>
      <c r="E42" s="12">
        <v>1</v>
      </c>
      <c r="F42" s="8">
        <v>2.44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113</v>
      </c>
      <c r="C43" s="12">
        <v>1</v>
      </c>
      <c r="D43" s="8">
        <v>1.28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124</v>
      </c>
      <c r="C44" s="12">
        <v>1</v>
      </c>
      <c r="D44" s="8">
        <v>1.28</v>
      </c>
      <c r="E44" s="12">
        <v>0</v>
      </c>
      <c r="F44" s="8">
        <v>0</v>
      </c>
      <c r="G44" s="12">
        <v>1</v>
      </c>
      <c r="H44" s="8">
        <v>3.03</v>
      </c>
      <c r="I44" s="12">
        <v>0</v>
      </c>
    </row>
    <row r="45" spans="2:9" ht="15" customHeight="1" x14ac:dyDescent="0.2">
      <c r="B45" t="s">
        <v>129</v>
      </c>
      <c r="C45" s="12">
        <v>1</v>
      </c>
      <c r="D45" s="8">
        <v>1.28</v>
      </c>
      <c r="E45" s="12">
        <v>0</v>
      </c>
      <c r="F45" s="8">
        <v>0</v>
      </c>
      <c r="G45" s="12">
        <v>1</v>
      </c>
      <c r="H45" s="8">
        <v>3.03</v>
      </c>
      <c r="I45" s="12">
        <v>0</v>
      </c>
    </row>
    <row r="46" spans="2:9" ht="15" customHeight="1" x14ac:dyDescent="0.2">
      <c r="B46" t="s">
        <v>78</v>
      </c>
      <c r="C46" s="12">
        <v>1</v>
      </c>
      <c r="D46" s="8">
        <v>1.28</v>
      </c>
      <c r="E46" s="12">
        <v>0</v>
      </c>
      <c r="F46" s="8">
        <v>0</v>
      </c>
      <c r="G46" s="12">
        <v>1</v>
      </c>
      <c r="H46" s="8">
        <v>3.03</v>
      </c>
      <c r="I46" s="12">
        <v>0</v>
      </c>
    </row>
    <row r="47" spans="2:9" ht="15" customHeight="1" x14ac:dyDescent="0.2">
      <c r="B47" t="s">
        <v>99</v>
      </c>
      <c r="C47" s="12">
        <v>1</v>
      </c>
      <c r="D47" s="8">
        <v>1.28</v>
      </c>
      <c r="E47" s="12">
        <v>1</v>
      </c>
      <c r="F47" s="8">
        <v>2.44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80</v>
      </c>
      <c r="C48" s="12">
        <v>1</v>
      </c>
      <c r="D48" s="8">
        <v>1.28</v>
      </c>
      <c r="E48" s="12">
        <v>0</v>
      </c>
      <c r="F48" s="8">
        <v>0</v>
      </c>
      <c r="G48" s="12">
        <v>1</v>
      </c>
      <c r="H48" s="8">
        <v>3.03</v>
      </c>
      <c r="I48" s="12">
        <v>0</v>
      </c>
    </row>
    <row r="49" spans="2:9" ht="15" customHeight="1" x14ac:dyDescent="0.2">
      <c r="B49" t="s">
        <v>84</v>
      </c>
      <c r="C49" s="12">
        <v>1</v>
      </c>
      <c r="D49" s="8">
        <v>1.28</v>
      </c>
      <c r="E49" s="12">
        <v>1</v>
      </c>
      <c r="F49" s="8">
        <v>2.44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117</v>
      </c>
      <c r="C50" s="12">
        <v>1</v>
      </c>
      <c r="D50" s="8">
        <v>1.28</v>
      </c>
      <c r="E50" s="12">
        <v>0</v>
      </c>
      <c r="F50" s="8">
        <v>0</v>
      </c>
      <c r="G50" s="12">
        <v>1</v>
      </c>
      <c r="H50" s="8">
        <v>3.03</v>
      </c>
      <c r="I50" s="12">
        <v>0</v>
      </c>
    </row>
    <row r="51" spans="2:9" ht="15" customHeight="1" x14ac:dyDescent="0.2">
      <c r="B51" t="s">
        <v>86</v>
      </c>
      <c r="C51" s="12">
        <v>1</v>
      </c>
      <c r="D51" s="8">
        <v>1.28</v>
      </c>
      <c r="E51" s="12">
        <v>0</v>
      </c>
      <c r="F51" s="8">
        <v>0</v>
      </c>
      <c r="G51" s="12">
        <v>1</v>
      </c>
      <c r="H51" s="8">
        <v>3.03</v>
      </c>
      <c r="I51" s="12">
        <v>0</v>
      </c>
    </row>
    <row r="52" spans="2:9" ht="15" customHeight="1" x14ac:dyDescent="0.2">
      <c r="B52" t="s">
        <v>118</v>
      </c>
      <c r="C52" s="12">
        <v>1</v>
      </c>
      <c r="D52" s="8">
        <v>1.28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95</v>
      </c>
      <c r="C53" s="12">
        <v>1</v>
      </c>
      <c r="D53" s="8">
        <v>1.28</v>
      </c>
      <c r="E53" s="12">
        <v>0</v>
      </c>
      <c r="F53" s="8">
        <v>0</v>
      </c>
      <c r="G53" s="12">
        <v>1</v>
      </c>
      <c r="H53" s="8">
        <v>3.03</v>
      </c>
      <c r="I53" s="12">
        <v>0</v>
      </c>
    </row>
    <row r="54" spans="2:9" ht="15" customHeight="1" x14ac:dyDescent="0.2">
      <c r="B54" t="s">
        <v>107</v>
      </c>
      <c r="C54" s="12">
        <v>1</v>
      </c>
      <c r="D54" s="8">
        <v>1.28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283</v>
      </c>
      <c r="C57" s="10" t="s">
        <v>67</v>
      </c>
      <c r="D57" s="10" t="s">
        <v>68</v>
      </c>
      <c r="E57" s="10" t="s">
        <v>69</v>
      </c>
      <c r="F57" s="10" t="s">
        <v>70</v>
      </c>
      <c r="G57" s="10" t="s">
        <v>71</v>
      </c>
      <c r="H57" s="10" t="s">
        <v>72</v>
      </c>
      <c r="I57" s="10" t="s">
        <v>73</v>
      </c>
    </row>
    <row r="58" spans="2:9" ht="15" customHeight="1" x14ac:dyDescent="0.2">
      <c r="B58" t="s">
        <v>151</v>
      </c>
      <c r="C58" s="12">
        <v>7</v>
      </c>
      <c r="D58" s="8">
        <v>8.9700000000000006</v>
      </c>
      <c r="E58" s="12">
        <v>7</v>
      </c>
      <c r="F58" s="8">
        <v>17.07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150</v>
      </c>
      <c r="C59" s="12">
        <v>4</v>
      </c>
      <c r="D59" s="8">
        <v>5.13</v>
      </c>
      <c r="E59" s="12">
        <v>4</v>
      </c>
      <c r="F59" s="8">
        <v>9.76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153</v>
      </c>
      <c r="C60" s="12">
        <v>4</v>
      </c>
      <c r="D60" s="8">
        <v>5.13</v>
      </c>
      <c r="E60" s="12">
        <v>4</v>
      </c>
      <c r="F60" s="8">
        <v>9.76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135</v>
      </c>
      <c r="C61" s="12">
        <v>3</v>
      </c>
      <c r="D61" s="8">
        <v>3.85</v>
      </c>
      <c r="E61" s="12">
        <v>0</v>
      </c>
      <c r="F61" s="8">
        <v>0</v>
      </c>
      <c r="G61" s="12">
        <v>3</v>
      </c>
      <c r="H61" s="8">
        <v>9.09</v>
      </c>
      <c r="I61" s="12">
        <v>0</v>
      </c>
    </row>
    <row r="62" spans="2:9" ht="15" customHeight="1" x14ac:dyDescent="0.2">
      <c r="B62" t="s">
        <v>245</v>
      </c>
      <c r="C62" s="12">
        <v>3</v>
      </c>
      <c r="D62" s="8">
        <v>3.85</v>
      </c>
      <c r="E62" s="12">
        <v>0</v>
      </c>
      <c r="F62" s="8">
        <v>0</v>
      </c>
      <c r="G62" s="12">
        <v>3</v>
      </c>
      <c r="H62" s="8">
        <v>9.09</v>
      </c>
      <c r="I62" s="12">
        <v>0</v>
      </c>
    </row>
    <row r="63" spans="2:9" ht="15" customHeight="1" x14ac:dyDescent="0.2">
      <c r="B63" t="s">
        <v>140</v>
      </c>
      <c r="C63" s="12">
        <v>3</v>
      </c>
      <c r="D63" s="8">
        <v>3.85</v>
      </c>
      <c r="E63" s="12">
        <v>1</v>
      </c>
      <c r="F63" s="8">
        <v>2.44</v>
      </c>
      <c r="G63" s="12">
        <v>2</v>
      </c>
      <c r="H63" s="8">
        <v>6.06</v>
      </c>
      <c r="I63" s="12">
        <v>0</v>
      </c>
    </row>
    <row r="64" spans="2:9" ht="15" customHeight="1" x14ac:dyDescent="0.2">
      <c r="B64" t="s">
        <v>141</v>
      </c>
      <c r="C64" s="12">
        <v>3</v>
      </c>
      <c r="D64" s="8">
        <v>3.85</v>
      </c>
      <c r="E64" s="12">
        <v>1</v>
      </c>
      <c r="F64" s="8">
        <v>2.44</v>
      </c>
      <c r="G64" s="12">
        <v>2</v>
      </c>
      <c r="H64" s="8">
        <v>6.06</v>
      </c>
      <c r="I64" s="12">
        <v>0</v>
      </c>
    </row>
    <row r="65" spans="2:9" ht="15" customHeight="1" x14ac:dyDescent="0.2">
      <c r="B65" t="s">
        <v>154</v>
      </c>
      <c r="C65" s="12">
        <v>3</v>
      </c>
      <c r="D65" s="8">
        <v>3.85</v>
      </c>
      <c r="E65" s="12">
        <v>3</v>
      </c>
      <c r="F65" s="8">
        <v>7.32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138</v>
      </c>
      <c r="C66" s="12">
        <v>2</v>
      </c>
      <c r="D66" s="8">
        <v>2.56</v>
      </c>
      <c r="E66" s="12">
        <v>1</v>
      </c>
      <c r="F66" s="8">
        <v>2.44</v>
      </c>
      <c r="G66" s="12">
        <v>1</v>
      </c>
      <c r="H66" s="8">
        <v>3.03</v>
      </c>
      <c r="I66" s="12">
        <v>0</v>
      </c>
    </row>
    <row r="67" spans="2:9" ht="15" customHeight="1" x14ac:dyDescent="0.2">
      <c r="B67" t="s">
        <v>236</v>
      </c>
      <c r="C67" s="12">
        <v>2</v>
      </c>
      <c r="D67" s="8">
        <v>2.56</v>
      </c>
      <c r="E67" s="12">
        <v>2</v>
      </c>
      <c r="F67" s="8">
        <v>4.88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244</v>
      </c>
      <c r="C68" s="12">
        <v>2</v>
      </c>
      <c r="D68" s="8">
        <v>2.56</v>
      </c>
      <c r="E68" s="12">
        <v>0</v>
      </c>
      <c r="F68" s="8">
        <v>0</v>
      </c>
      <c r="G68" s="12">
        <v>2</v>
      </c>
      <c r="H68" s="8">
        <v>6.06</v>
      </c>
      <c r="I68" s="12">
        <v>0</v>
      </c>
    </row>
    <row r="69" spans="2:9" ht="15" customHeight="1" x14ac:dyDescent="0.2">
      <c r="B69" t="s">
        <v>195</v>
      </c>
      <c r="C69" s="12">
        <v>2</v>
      </c>
      <c r="D69" s="8">
        <v>2.56</v>
      </c>
      <c r="E69" s="12">
        <v>0</v>
      </c>
      <c r="F69" s="8">
        <v>0</v>
      </c>
      <c r="G69" s="12">
        <v>2</v>
      </c>
      <c r="H69" s="8">
        <v>6.06</v>
      </c>
      <c r="I69" s="12">
        <v>0</v>
      </c>
    </row>
    <row r="70" spans="2:9" ht="15" customHeight="1" x14ac:dyDescent="0.2">
      <c r="B70" t="s">
        <v>173</v>
      </c>
      <c r="C70" s="12">
        <v>2</v>
      </c>
      <c r="D70" s="8">
        <v>2.56</v>
      </c>
      <c r="E70" s="12">
        <v>1</v>
      </c>
      <c r="F70" s="8">
        <v>2.44</v>
      </c>
      <c r="G70" s="12">
        <v>1</v>
      </c>
      <c r="H70" s="8">
        <v>3.03</v>
      </c>
      <c r="I70" s="12">
        <v>0</v>
      </c>
    </row>
    <row r="71" spans="2:9" ht="15" customHeight="1" x14ac:dyDescent="0.2">
      <c r="B71" t="s">
        <v>167</v>
      </c>
      <c r="C71" s="12">
        <v>2</v>
      </c>
      <c r="D71" s="8">
        <v>2.56</v>
      </c>
      <c r="E71" s="12">
        <v>2</v>
      </c>
      <c r="F71" s="8">
        <v>4.88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168</v>
      </c>
      <c r="C72" s="12">
        <v>2</v>
      </c>
      <c r="D72" s="8">
        <v>2.56</v>
      </c>
      <c r="E72" s="12">
        <v>0</v>
      </c>
      <c r="F72" s="8">
        <v>0</v>
      </c>
      <c r="G72" s="12">
        <v>2</v>
      </c>
      <c r="H72" s="8">
        <v>6.06</v>
      </c>
      <c r="I72" s="12">
        <v>0</v>
      </c>
    </row>
    <row r="73" spans="2:9" ht="15" customHeight="1" x14ac:dyDescent="0.2">
      <c r="B73" t="s">
        <v>169</v>
      </c>
      <c r="C73" s="12">
        <v>2</v>
      </c>
      <c r="D73" s="8">
        <v>2.56</v>
      </c>
      <c r="E73" s="12">
        <v>0</v>
      </c>
      <c r="F73" s="8">
        <v>0</v>
      </c>
      <c r="G73" s="12">
        <v>2</v>
      </c>
      <c r="H73" s="8">
        <v>6.06</v>
      </c>
      <c r="I73" s="12">
        <v>0</v>
      </c>
    </row>
    <row r="74" spans="2:9" ht="15" customHeight="1" x14ac:dyDescent="0.2">
      <c r="B74" t="s">
        <v>147</v>
      </c>
      <c r="C74" s="12">
        <v>2</v>
      </c>
      <c r="D74" s="8">
        <v>2.56</v>
      </c>
      <c r="E74" s="12">
        <v>2</v>
      </c>
      <c r="F74" s="8">
        <v>4.88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136</v>
      </c>
      <c r="C75" s="12">
        <v>1</v>
      </c>
      <c r="D75" s="8">
        <v>1.28</v>
      </c>
      <c r="E75" s="12">
        <v>0</v>
      </c>
      <c r="F75" s="8">
        <v>0</v>
      </c>
      <c r="G75" s="12">
        <v>1</v>
      </c>
      <c r="H75" s="8">
        <v>3.03</v>
      </c>
      <c r="I75" s="12">
        <v>0</v>
      </c>
    </row>
    <row r="76" spans="2:9" ht="15" customHeight="1" x14ac:dyDescent="0.2">
      <c r="B76" t="s">
        <v>137</v>
      </c>
      <c r="C76" s="12">
        <v>1</v>
      </c>
      <c r="D76" s="8">
        <v>1.28</v>
      </c>
      <c r="E76" s="12">
        <v>1</v>
      </c>
      <c r="F76" s="8">
        <v>2.44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184</v>
      </c>
      <c r="C77" s="12">
        <v>1</v>
      </c>
      <c r="D77" s="8">
        <v>1.28</v>
      </c>
      <c r="E77" s="12">
        <v>1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162</v>
      </c>
      <c r="C78" s="12">
        <v>1</v>
      </c>
      <c r="D78" s="8">
        <v>1.28</v>
      </c>
      <c r="E78" s="12">
        <v>1</v>
      </c>
      <c r="F78" s="8">
        <v>2.44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241</v>
      </c>
      <c r="C79" s="12">
        <v>1</v>
      </c>
      <c r="D79" s="8">
        <v>1.28</v>
      </c>
      <c r="E79" s="12">
        <v>0</v>
      </c>
      <c r="F79" s="8">
        <v>0</v>
      </c>
      <c r="G79" s="12">
        <v>1</v>
      </c>
      <c r="H79" s="8">
        <v>3.03</v>
      </c>
      <c r="I79" s="12">
        <v>0</v>
      </c>
    </row>
    <row r="80" spans="2:9" ht="15" customHeight="1" x14ac:dyDescent="0.2">
      <c r="B80" t="s">
        <v>163</v>
      </c>
      <c r="C80" s="12">
        <v>1</v>
      </c>
      <c r="D80" s="8">
        <v>1.28</v>
      </c>
      <c r="E80" s="12">
        <v>0</v>
      </c>
      <c r="F80" s="8">
        <v>0</v>
      </c>
      <c r="G80" s="12">
        <v>1</v>
      </c>
      <c r="H80" s="8">
        <v>3.03</v>
      </c>
      <c r="I80" s="12">
        <v>0</v>
      </c>
    </row>
    <row r="81" spans="2:9" ht="15" customHeight="1" x14ac:dyDescent="0.2">
      <c r="B81" t="s">
        <v>242</v>
      </c>
      <c r="C81" s="12">
        <v>1</v>
      </c>
      <c r="D81" s="8">
        <v>1.28</v>
      </c>
      <c r="E81" s="12">
        <v>1</v>
      </c>
      <c r="F81" s="8">
        <v>2.44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186</v>
      </c>
      <c r="C82" s="12">
        <v>1</v>
      </c>
      <c r="D82" s="8">
        <v>1.28</v>
      </c>
      <c r="E82" s="12">
        <v>1</v>
      </c>
      <c r="F82" s="8">
        <v>2.44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243</v>
      </c>
      <c r="C83" s="12">
        <v>1</v>
      </c>
      <c r="D83" s="8">
        <v>1.28</v>
      </c>
      <c r="E83" s="12">
        <v>0</v>
      </c>
      <c r="F83" s="8">
        <v>0</v>
      </c>
      <c r="G83" s="12">
        <v>1</v>
      </c>
      <c r="H83" s="8">
        <v>3.03</v>
      </c>
      <c r="I83" s="12">
        <v>0</v>
      </c>
    </row>
    <row r="84" spans="2:9" ht="15" customHeight="1" x14ac:dyDescent="0.2">
      <c r="B84" t="s">
        <v>177</v>
      </c>
      <c r="C84" s="12">
        <v>1</v>
      </c>
      <c r="D84" s="8">
        <v>1.28</v>
      </c>
      <c r="E84" s="12">
        <v>1</v>
      </c>
      <c r="F84" s="8">
        <v>2.44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246</v>
      </c>
      <c r="C85" s="12">
        <v>1</v>
      </c>
      <c r="D85" s="8">
        <v>1.28</v>
      </c>
      <c r="E85" s="12">
        <v>1</v>
      </c>
      <c r="F85" s="8">
        <v>2.44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197</v>
      </c>
      <c r="C86" s="12">
        <v>1</v>
      </c>
      <c r="D86" s="8">
        <v>1.28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247</v>
      </c>
      <c r="C87" s="12">
        <v>1</v>
      </c>
      <c r="D87" s="8">
        <v>1.28</v>
      </c>
      <c r="E87" s="12">
        <v>0</v>
      </c>
      <c r="F87" s="8">
        <v>0</v>
      </c>
      <c r="G87" s="12">
        <v>1</v>
      </c>
      <c r="H87" s="8">
        <v>3.03</v>
      </c>
      <c r="I87" s="12">
        <v>0</v>
      </c>
    </row>
    <row r="88" spans="2:9" ht="15" customHeight="1" x14ac:dyDescent="0.2">
      <c r="B88" t="s">
        <v>248</v>
      </c>
      <c r="C88" s="12">
        <v>1</v>
      </c>
      <c r="D88" s="8">
        <v>1.28</v>
      </c>
      <c r="E88" s="12">
        <v>0</v>
      </c>
      <c r="F88" s="8">
        <v>0</v>
      </c>
      <c r="G88" s="12">
        <v>1</v>
      </c>
      <c r="H88" s="8">
        <v>3.03</v>
      </c>
      <c r="I88" s="12">
        <v>0</v>
      </c>
    </row>
    <row r="89" spans="2:9" ht="15" customHeight="1" x14ac:dyDescent="0.2">
      <c r="B89" t="s">
        <v>164</v>
      </c>
      <c r="C89" s="12">
        <v>1</v>
      </c>
      <c r="D89" s="8">
        <v>1.28</v>
      </c>
      <c r="E89" s="12">
        <v>0</v>
      </c>
      <c r="F89" s="8">
        <v>0</v>
      </c>
      <c r="G89" s="12">
        <v>1</v>
      </c>
      <c r="H89" s="8">
        <v>3.03</v>
      </c>
      <c r="I89" s="12">
        <v>0</v>
      </c>
    </row>
    <row r="90" spans="2:9" ht="15" customHeight="1" x14ac:dyDescent="0.2">
      <c r="B90" t="s">
        <v>215</v>
      </c>
      <c r="C90" s="12">
        <v>1</v>
      </c>
      <c r="D90" s="8">
        <v>1.28</v>
      </c>
      <c r="E90" s="12">
        <v>1</v>
      </c>
      <c r="F90" s="8">
        <v>2.44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139</v>
      </c>
      <c r="C91" s="12">
        <v>1</v>
      </c>
      <c r="D91" s="8">
        <v>1.28</v>
      </c>
      <c r="E91" s="12">
        <v>0</v>
      </c>
      <c r="F91" s="8">
        <v>0</v>
      </c>
      <c r="G91" s="12">
        <v>1</v>
      </c>
      <c r="H91" s="8">
        <v>3.03</v>
      </c>
      <c r="I91" s="12">
        <v>0</v>
      </c>
    </row>
    <row r="92" spans="2:9" ht="15" customHeight="1" x14ac:dyDescent="0.2">
      <c r="B92" t="s">
        <v>201</v>
      </c>
      <c r="C92" s="12">
        <v>1</v>
      </c>
      <c r="D92" s="8">
        <v>1.28</v>
      </c>
      <c r="E92" s="12">
        <v>1</v>
      </c>
      <c r="F92" s="8">
        <v>2.44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174</v>
      </c>
      <c r="C93" s="12">
        <v>1</v>
      </c>
      <c r="D93" s="8">
        <v>1.28</v>
      </c>
      <c r="E93" s="12">
        <v>0</v>
      </c>
      <c r="F93" s="8">
        <v>0</v>
      </c>
      <c r="G93" s="12">
        <v>1</v>
      </c>
      <c r="H93" s="8">
        <v>3.03</v>
      </c>
      <c r="I93" s="12">
        <v>0</v>
      </c>
    </row>
    <row r="94" spans="2:9" ht="15" customHeight="1" x14ac:dyDescent="0.2">
      <c r="B94" t="s">
        <v>249</v>
      </c>
      <c r="C94" s="12">
        <v>1</v>
      </c>
      <c r="D94" s="8">
        <v>1.28</v>
      </c>
      <c r="E94" s="12">
        <v>1</v>
      </c>
      <c r="F94" s="8">
        <v>2.44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250</v>
      </c>
      <c r="C95" s="12">
        <v>1</v>
      </c>
      <c r="D95" s="8">
        <v>1.28</v>
      </c>
      <c r="E95" s="12">
        <v>0</v>
      </c>
      <c r="F95" s="8">
        <v>0</v>
      </c>
      <c r="G95" s="12">
        <v>1</v>
      </c>
      <c r="H95" s="8">
        <v>3.03</v>
      </c>
      <c r="I95" s="12">
        <v>0</v>
      </c>
    </row>
    <row r="96" spans="2:9" ht="15" customHeight="1" x14ac:dyDescent="0.2">
      <c r="B96" t="s">
        <v>251</v>
      </c>
      <c r="C96" s="12">
        <v>1</v>
      </c>
      <c r="D96" s="8">
        <v>1.28</v>
      </c>
      <c r="E96" s="12">
        <v>0</v>
      </c>
      <c r="F96" s="8">
        <v>0</v>
      </c>
      <c r="G96" s="12">
        <v>1</v>
      </c>
      <c r="H96" s="8">
        <v>3.03</v>
      </c>
      <c r="I96" s="12">
        <v>0</v>
      </c>
    </row>
    <row r="97" spans="2:9" ht="15" customHeight="1" x14ac:dyDescent="0.2">
      <c r="B97" t="s">
        <v>148</v>
      </c>
      <c r="C97" s="12">
        <v>1</v>
      </c>
      <c r="D97" s="8">
        <v>1.28</v>
      </c>
      <c r="E97" s="12">
        <v>1</v>
      </c>
      <c r="F97" s="8">
        <v>2.44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149</v>
      </c>
      <c r="C98" s="12">
        <v>1</v>
      </c>
      <c r="D98" s="8">
        <v>1.28</v>
      </c>
      <c r="E98" s="12">
        <v>1</v>
      </c>
      <c r="F98" s="8">
        <v>2.44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160</v>
      </c>
      <c r="C99" s="12">
        <v>1</v>
      </c>
      <c r="D99" s="8">
        <v>1.28</v>
      </c>
      <c r="E99" s="12">
        <v>1</v>
      </c>
      <c r="F99" s="8">
        <v>2.44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252</v>
      </c>
      <c r="C100" s="12">
        <v>1</v>
      </c>
      <c r="D100" s="8">
        <v>1.28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152</v>
      </c>
      <c r="C101" s="12">
        <v>1</v>
      </c>
      <c r="D101" s="8">
        <v>1.28</v>
      </c>
      <c r="E101" s="12">
        <v>0</v>
      </c>
      <c r="F101" s="8">
        <v>0</v>
      </c>
      <c r="G101" s="12">
        <v>1</v>
      </c>
      <c r="H101" s="8">
        <v>3.03</v>
      </c>
      <c r="I101" s="12">
        <v>0</v>
      </c>
    </row>
    <row r="102" spans="2:9" ht="15" customHeight="1" x14ac:dyDescent="0.2">
      <c r="B102" t="s">
        <v>253</v>
      </c>
      <c r="C102" s="12">
        <v>1</v>
      </c>
      <c r="D102" s="8">
        <v>1.28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212</v>
      </c>
      <c r="C103" s="12">
        <v>1</v>
      </c>
      <c r="D103" s="8">
        <v>1.28</v>
      </c>
      <c r="E103" s="12">
        <v>0</v>
      </c>
      <c r="F103" s="8">
        <v>0</v>
      </c>
      <c r="G103" s="12">
        <v>1</v>
      </c>
      <c r="H103" s="8">
        <v>3.03</v>
      </c>
      <c r="I103" s="12">
        <v>0</v>
      </c>
    </row>
    <row r="104" spans="2:9" ht="15" customHeight="1" x14ac:dyDescent="0.2">
      <c r="B104" t="s">
        <v>182</v>
      </c>
      <c r="C104" s="12">
        <v>1</v>
      </c>
      <c r="D104" s="8">
        <v>1.28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6" spans="2:9" ht="15" customHeight="1" x14ac:dyDescent="0.2">
      <c r="B106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B508-FEAE-42AC-8AEC-0CA61DE9CD2C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27</v>
      </c>
      <c r="D6" s="8">
        <v>11.84</v>
      </c>
      <c r="E6" s="12">
        <v>10</v>
      </c>
      <c r="F6" s="8">
        <v>8.1300000000000008</v>
      </c>
      <c r="G6" s="12">
        <v>17</v>
      </c>
      <c r="H6" s="8">
        <v>16.670000000000002</v>
      </c>
      <c r="I6" s="12">
        <v>0</v>
      </c>
    </row>
    <row r="7" spans="2:9" ht="15" customHeight="1" x14ac:dyDescent="0.2">
      <c r="B7" t="s">
        <v>53</v>
      </c>
      <c r="C7" s="12">
        <v>19</v>
      </c>
      <c r="D7" s="8">
        <v>8.33</v>
      </c>
      <c r="E7" s="12">
        <v>13</v>
      </c>
      <c r="F7" s="8">
        <v>10.57</v>
      </c>
      <c r="G7" s="12">
        <v>6</v>
      </c>
      <c r="H7" s="8">
        <v>5.88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1.32</v>
      </c>
      <c r="E8" s="12">
        <v>0</v>
      </c>
      <c r="F8" s="8">
        <v>0</v>
      </c>
      <c r="G8" s="12">
        <v>3</v>
      </c>
      <c r="H8" s="8">
        <v>2.94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0.44</v>
      </c>
      <c r="E9" s="12">
        <v>0</v>
      </c>
      <c r="F9" s="8">
        <v>0</v>
      </c>
      <c r="G9" s="12">
        <v>1</v>
      </c>
      <c r="H9" s="8">
        <v>0.98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0.44</v>
      </c>
      <c r="E10" s="12">
        <v>0</v>
      </c>
      <c r="F10" s="8">
        <v>0</v>
      </c>
      <c r="G10" s="12">
        <v>1</v>
      </c>
      <c r="H10" s="8">
        <v>0.98</v>
      </c>
      <c r="I10" s="12">
        <v>0</v>
      </c>
    </row>
    <row r="11" spans="2:9" ht="15" customHeight="1" x14ac:dyDescent="0.2">
      <c r="B11" t="s">
        <v>57</v>
      </c>
      <c r="C11" s="12">
        <v>74</v>
      </c>
      <c r="D11" s="8">
        <v>32.46</v>
      </c>
      <c r="E11" s="12">
        <v>32</v>
      </c>
      <c r="F11" s="8">
        <v>26.02</v>
      </c>
      <c r="G11" s="12">
        <v>42</v>
      </c>
      <c r="H11" s="8">
        <v>41.18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0.88</v>
      </c>
      <c r="E12" s="12">
        <v>1</v>
      </c>
      <c r="F12" s="8">
        <v>0.81</v>
      </c>
      <c r="G12" s="12">
        <v>1</v>
      </c>
      <c r="H12" s="8">
        <v>0.98</v>
      </c>
      <c r="I12" s="12">
        <v>0</v>
      </c>
    </row>
    <row r="13" spans="2:9" ht="15" customHeight="1" x14ac:dyDescent="0.2">
      <c r="B13" t="s">
        <v>59</v>
      </c>
      <c r="C13" s="12">
        <v>5</v>
      </c>
      <c r="D13" s="8">
        <v>2.19</v>
      </c>
      <c r="E13" s="12">
        <v>1</v>
      </c>
      <c r="F13" s="8">
        <v>0.81</v>
      </c>
      <c r="G13" s="12">
        <v>4</v>
      </c>
      <c r="H13" s="8">
        <v>3.92</v>
      </c>
      <c r="I13" s="12">
        <v>0</v>
      </c>
    </row>
    <row r="14" spans="2:9" ht="15" customHeight="1" x14ac:dyDescent="0.2">
      <c r="B14" t="s">
        <v>60</v>
      </c>
      <c r="C14" s="12">
        <v>10</v>
      </c>
      <c r="D14" s="8">
        <v>4.3899999999999997</v>
      </c>
      <c r="E14" s="12">
        <v>6</v>
      </c>
      <c r="F14" s="8">
        <v>4.88</v>
      </c>
      <c r="G14" s="12">
        <v>4</v>
      </c>
      <c r="H14" s="8">
        <v>3.92</v>
      </c>
      <c r="I14" s="12">
        <v>0</v>
      </c>
    </row>
    <row r="15" spans="2:9" ht="15" customHeight="1" x14ac:dyDescent="0.2">
      <c r="B15" t="s">
        <v>61</v>
      </c>
      <c r="C15" s="12">
        <v>23</v>
      </c>
      <c r="D15" s="8">
        <v>10.09</v>
      </c>
      <c r="E15" s="12">
        <v>18</v>
      </c>
      <c r="F15" s="8">
        <v>14.63</v>
      </c>
      <c r="G15" s="12">
        <v>4</v>
      </c>
      <c r="H15" s="8">
        <v>3.92</v>
      </c>
      <c r="I15" s="12">
        <v>0</v>
      </c>
    </row>
    <row r="16" spans="2:9" ht="15" customHeight="1" x14ac:dyDescent="0.2">
      <c r="B16" t="s">
        <v>62</v>
      </c>
      <c r="C16" s="12">
        <v>34</v>
      </c>
      <c r="D16" s="8">
        <v>14.91</v>
      </c>
      <c r="E16" s="12">
        <v>22</v>
      </c>
      <c r="F16" s="8">
        <v>17.89</v>
      </c>
      <c r="G16" s="12">
        <v>12</v>
      </c>
      <c r="H16" s="8">
        <v>11.76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1.75</v>
      </c>
      <c r="E17" s="12">
        <v>3</v>
      </c>
      <c r="F17" s="8">
        <v>2.44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14</v>
      </c>
      <c r="D18" s="8">
        <v>6.14</v>
      </c>
      <c r="E18" s="12">
        <v>9</v>
      </c>
      <c r="F18" s="8">
        <v>7.32</v>
      </c>
      <c r="G18" s="12">
        <v>5</v>
      </c>
      <c r="H18" s="8">
        <v>4.9000000000000004</v>
      </c>
      <c r="I18" s="12">
        <v>0</v>
      </c>
    </row>
    <row r="19" spans="2:9" ht="15" customHeight="1" x14ac:dyDescent="0.2">
      <c r="B19" t="s">
        <v>65</v>
      </c>
      <c r="C19" s="12">
        <v>11</v>
      </c>
      <c r="D19" s="8">
        <v>4.82</v>
      </c>
      <c r="E19" s="12">
        <v>8</v>
      </c>
      <c r="F19" s="8">
        <v>6.5</v>
      </c>
      <c r="G19" s="12">
        <v>2</v>
      </c>
      <c r="H19" s="8">
        <v>1.96</v>
      </c>
      <c r="I19" s="12">
        <v>0</v>
      </c>
    </row>
    <row r="20" spans="2:9" ht="15" customHeight="1" x14ac:dyDescent="0.2">
      <c r="B20" s="9" t="s">
        <v>281</v>
      </c>
      <c r="C20" s="12">
        <f>SUM(LTBL_43501[総数／事業所数])</f>
        <v>228</v>
      </c>
      <c r="E20" s="12">
        <f>SUBTOTAL(109,LTBL_43501[個人／事業所数])</f>
        <v>123</v>
      </c>
      <c r="G20" s="12">
        <f>SUBTOTAL(109,LTBL_43501[法人／事業所数])</f>
        <v>102</v>
      </c>
      <c r="I20" s="12">
        <f>SUBTOTAL(109,LTBL_43501[法人以外の団体／事業所数])</f>
        <v>0</v>
      </c>
    </row>
    <row r="21" spans="2:9" ht="15" customHeight="1" x14ac:dyDescent="0.2">
      <c r="E21" s="11">
        <f>LTBL_43501[[#Totals],[個人／事業所数]]/LTBL_43501[[#Totals],[総数／事業所数]]</f>
        <v>0.53947368421052633</v>
      </c>
      <c r="G21" s="11">
        <f>LTBL_43501[[#Totals],[法人／事業所数]]/LTBL_43501[[#Totals],[総数／事業所数]]</f>
        <v>0.44736842105263158</v>
      </c>
      <c r="I21" s="11">
        <f>LTBL_43501[[#Totals],[法人以外の団体／事業所数]]/LTBL_43501[[#Totals],[総数／事業所数]]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24</v>
      </c>
      <c r="D24" s="8">
        <v>10.53</v>
      </c>
      <c r="E24" s="12">
        <v>18</v>
      </c>
      <c r="F24" s="8">
        <v>14.63</v>
      </c>
      <c r="G24" s="12">
        <v>6</v>
      </c>
      <c r="H24" s="8">
        <v>5.88</v>
      </c>
      <c r="I24" s="12">
        <v>0</v>
      </c>
    </row>
    <row r="25" spans="2:9" ht="15" customHeight="1" x14ac:dyDescent="0.2">
      <c r="B25" t="s">
        <v>83</v>
      </c>
      <c r="C25" s="12">
        <v>19</v>
      </c>
      <c r="D25" s="8">
        <v>8.33</v>
      </c>
      <c r="E25" s="12">
        <v>5</v>
      </c>
      <c r="F25" s="8">
        <v>4.07</v>
      </c>
      <c r="G25" s="12">
        <v>14</v>
      </c>
      <c r="H25" s="8">
        <v>13.73</v>
      </c>
      <c r="I25" s="12">
        <v>0</v>
      </c>
    </row>
    <row r="26" spans="2:9" ht="15" customHeight="1" x14ac:dyDescent="0.2">
      <c r="B26" t="s">
        <v>81</v>
      </c>
      <c r="C26" s="12">
        <v>17</v>
      </c>
      <c r="D26" s="8">
        <v>7.46</v>
      </c>
      <c r="E26" s="12">
        <v>10</v>
      </c>
      <c r="F26" s="8">
        <v>8.1300000000000008</v>
      </c>
      <c r="G26" s="12">
        <v>7</v>
      </c>
      <c r="H26" s="8">
        <v>6.86</v>
      </c>
      <c r="I26" s="12">
        <v>0</v>
      </c>
    </row>
    <row r="27" spans="2:9" ht="15" customHeight="1" x14ac:dyDescent="0.2">
      <c r="B27" t="s">
        <v>88</v>
      </c>
      <c r="C27" s="12">
        <v>17</v>
      </c>
      <c r="D27" s="8">
        <v>7.46</v>
      </c>
      <c r="E27" s="12">
        <v>15</v>
      </c>
      <c r="F27" s="8">
        <v>12.2</v>
      </c>
      <c r="G27" s="12">
        <v>2</v>
      </c>
      <c r="H27" s="8">
        <v>1.96</v>
      </c>
      <c r="I27" s="12">
        <v>0</v>
      </c>
    </row>
    <row r="28" spans="2:9" ht="15" customHeight="1" x14ac:dyDescent="0.2">
      <c r="B28" t="s">
        <v>74</v>
      </c>
      <c r="C28" s="12">
        <v>15</v>
      </c>
      <c r="D28" s="8">
        <v>6.58</v>
      </c>
      <c r="E28" s="12">
        <v>4</v>
      </c>
      <c r="F28" s="8">
        <v>3.25</v>
      </c>
      <c r="G28" s="12">
        <v>11</v>
      </c>
      <c r="H28" s="8">
        <v>10.78</v>
      </c>
      <c r="I28" s="12">
        <v>0</v>
      </c>
    </row>
    <row r="29" spans="2:9" ht="15" customHeight="1" x14ac:dyDescent="0.2">
      <c r="B29" t="s">
        <v>82</v>
      </c>
      <c r="C29" s="12">
        <v>13</v>
      </c>
      <c r="D29" s="8">
        <v>5.7</v>
      </c>
      <c r="E29" s="12">
        <v>10</v>
      </c>
      <c r="F29" s="8">
        <v>8.1300000000000008</v>
      </c>
      <c r="G29" s="12">
        <v>3</v>
      </c>
      <c r="H29" s="8">
        <v>2.94</v>
      </c>
      <c r="I29" s="12">
        <v>0</v>
      </c>
    </row>
    <row r="30" spans="2:9" ht="15" customHeight="1" x14ac:dyDescent="0.2">
      <c r="B30" t="s">
        <v>91</v>
      </c>
      <c r="C30" s="12">
        <v>12</v>
      </c>
      <c r="D30" s="8">
        <v>5.26</v>
      </c>
      <c r="E30" s="12">
        <v>9</v>
      </c>
      <c r="F30" s="8">
        <v>7.32</v>
      </c>
      <c r="G30" s="12">
        <v>3</v>
      </c>
      <c r="H30" s="8">
        <v>2.94</v>
      </c>
      <c r="I30" s="12">
        <v>0</v>
      </c>
    </row>
    <row r="31" spans="2:9" ht="15" customHeight="1" x14ac:dyDescent="0.2">
      <c r="B31" t="s">
        <v>80</v>
      </c>
      <c r="C31" s="12">
        <v>11</v>
      </c>
      <c r="D31" s="8">
        <v>4.82</v>
      </c>
      <c r="E31" s="12">
        <v>2</v>
      </c>
      <c r="F31" s="8">
        <v>1.63</v>
      </c>
      <c r="G31" s="12">
        <v>9</v>
      </c>
      <c r="H31" s="8">
        <v>8.82</v>
      </c>
      <c r="I31" s="12">
        <v>0</v>
      </c>
    </row>
    <row r="32" spans="2:9" ht="15" customHeight="1" x14ac:dyDescent="0.2">
      <c r="B32" t="s">
        <v>97</v>
      </c>
      <c r="C32" s="12">
        <v>9</v>
      </c>
      <c r="D32" s="8">
        <v>3.95</v>
      </c>
      <c r="E32" s="12">
        <v>3</v>
      </c>
      <c r="F32" s="8">
        <v>2.44</v>
      </c>
      <c r="G32" s="12">
        <v>6</v>
      </c>
      <c r="H32" s="8">
        <v>5.88</v>
      </c>
      <c r="I32" s="12">
        <v>0</v>
      </c>
    </row>
    <row r="33" spans="2:9" ht="15" customHeight="1" x14ac:dyDescent="0.2">
      <c r="B33" t="s">
        <v>93</v>
      </c>
      <c r="C33" s="12">
        <v>8</v>
      </c>
      <c r="D33" s="8">
        <v>3.51</v>
      </c>
      <c r="E33" s="12">
        <v>8</v>
      </c>
      <c r="F33" s="8">
        <v>6.5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87</v>
      </c>
      <c r="C34" s="12">
        <v>7</v>
      </c>
      <c r="D34" s="8">
        <v>3.07</v>
      </c>
      <c r="E34" s="12">
        <v>4</v>
      </c>
      <c r="F34" s="8">
        <v>3.25</v>
      </c>
      <c r="G34" s="12">
        <v>3</v>
      </c>
      <c r="H34" s="8">
        <v>2.94</v>
      </c>
      <c r="I34" s="12">
        <v>0</v>
      </c>
    </row>
    <row r="35" spans="2:9" ht="15" customHeight="1" x14ac:dyDescent="0.2">
      <c r="B35" t="s">
        <v>75</v>
      </c>
      <c r="C35" s="12">
        <v>6</v>
      </c>
      <c r="D35" s="8">
        <v>2.63</v>
      </c>
      <c r="E35" s="12">
        <v>2</v>
      </c>
      <c r="F35" s="8">
        <v>1.63</v>
      </c>
      <c r="G35" s="12">
        <v>4</v>
      </c>
      <c r="H35" s="8">
        <v>3.92</v>
      </c>
      <c r="I35" s="12">
        <v>0</v>
      </c>
    </row>
    <row r="36" spans="2:9" ht="15" customHeight="1" x14ac:dyDescent="0.2">
      <c r="B36" t="s">
        <v>76</v>
      </c>
      <c r="C36" s="12">
        <v>6</v>
      </c>
      <c r="D36" s="8">
        <v>2.63</v>
      </c>
      <c r="E36" s="12">
        <v>4</v>
      </c>
      <c r="F36" s="8">
        <v>3.25</v>
      </c>
      <c r="G36" s="12">
        <v>2</v>
      </c>
      <c r="H36" s="8">
        <v>1.96</v>
      </c>
      <c r="I36" s="12">
        <v>0</v>
      </c>
    </row>
    <row r="37" spans="2:9" ht="15" customHeight="1" x14ac:dyDescent="0.2">
      <c r="B37" t="s">
        <v>108</v>
      </c>
      <c r="C37" s="12">
        <v>6</v>
      </c>
      <c r="D37" s="8">
        <v>2.63</v>
      </c>
      <c r="E37" s="12">
        <v>4</v>
      </c>
      <c r="F37" s="8">
        <v>3.25</v>
      </c>
      <c r="G37" s="12">
        <v>2</v>
      </c>
      <c r="H37" s="8">
        <v>1.96</v>
      </c>
      <c r="I37" s="12">
        <v>0</v>
      </c>
    </row>
    <row r="38" spans="2:9" ht="15" customHeight="1" x14ac:dyDescent="0.2">
      <c r="B38" t="s">
        <v>125</v>
      </c>
      <c r="C38" s="12">
        <v>5</v>
      </c>
      <c r="D38" s="8">
        <v>2.19</v>
      </c>
      <c r="E38" s="12">
        <v>4</v>
      </c>
      <c r="F38" s="8">
        <v>3.25</v>
      </c>
      <c r="G38" s="12">
        <v>1</v>
      </c>
      <c r="H38" s="8">
        <v>0.98</v>
      </c>
      <c r="I38" s="12">
        <v>0</v>
      </c>
    </row>
    <row r="39" spans="2:9" ht="15" customHeight="1" x14ac:dyDescent="0.2">
      <c r="B39" t="s">
        <v>77</v>
      </c>
      <c r="C39" s="12">
        <v>4</v>
      </c>
      <c r="D39" s="8">
        <v>1.75</v>
      </c>
      <c r="E39" s="12">
        <v>3</v>
      </c>
      <c r="F39" s="8">
        <v>2.44</v>
      </c>
      <c r="G39" s="12">
        <v>1</v>
      </c>
      <c r="H39" s="8">
        <v>0.98</v>
      </c>
      <c r="I39" s="12">
        <v>0</v>
      </c>
    </row>
    <row r="40" spans="2:9" ht="15" customHeight="1" x14ac:dyDescent="0.2">
      <c r="B40" t="s">
        <v>99</v>
      </c>
      <c r="C40" s="12">
        <v>4</v>
      </c>
      <c r="D40" s="8">
        <v>1.75</v>
      </c>
      <c r="E40" s="12">
        <v>2</v>
      </c>
      <c r="F40" s="8">
        <v>1.63</v>
      </c>
      <c r="G40" s="12">
        <v>2</v>
      </c>
      <c r="H40" s="8">
        <v>1.96</v>
      </c>
      <c r="I40" s="12">
        <v>0</v>
      </c>
    </row>
    <row r="41" spans="2:9" ht="15" customHeight="1" x14ac:dyDescent="0.2">
      <c r="B41" t="s">
        <v>90</v>
      </c>
      <c r="C41" s="12">
        <v>4</v>
      </c>
      <c r="D41" s="8">
        <v>1.75</v>
      </c>
      <c r="E41" s="12">
        <v>3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79</v>
      </c>
      <c r="C42" s="12">
        <v>3</v>
      </c>
      <c r="D42" s="8">
        <v>1.32</v>
      </c>
      <c r="E42" s="12">
        <v>0</v>
      </c>
      <c r="F42" s="8">
        <v>0</v>
      </c>
      <c r="G42" s="12">
        <v>3</v>
      </c>
      <c r="H42" s="8">
        <v>2.94</v>
      </c>
      <c r="I42" s="12">
        <v>0</v>
      </c>
    </row>
    <row r="43" spans="2:9" ht="15" customHeight="1" x14ac:dyDescent="0.2">
      <c r="B43" t="s">
        <v>98</v>
      </c>
      <c r="C43" s="12">
        <v>3</v>
      </c>
      <c r="D43" s="8">
        <v>1.32</v>
      </c>
      <c r="E43" s="12">
        <v>1</v>
      </c>
      <c r="F43" s="8">
        <v>0.81</v>
      </c>
      <c r="G43" s="12">
        <v>2</v>
      </c>
      <c r="H43" s="8">
        <v>1.96</v>
      </c>
      <c r="I43" s="12">
        <v>0</v>
      </c>
    </row>
    <row r="44" spans="2:9" ht="15" customHeight="1" x14ac:dyDescent="0.2">
      <c r="B44" t="s">
        <v>85</v>
      </c>
      <c r="C44" s="12">
        <v>3</v>
      </c>
      <c r="D44" s="8">
        <v>1.32</v>
      </c>
      <c r="E44" s="12">
        <v>0</v>
      </c>
      <c r="F44" s="8">
        <v>0</v>
      </c>
      <c r="G44" s="12">
        <v>3</v>
      </c>
      <c r="H44" s="8">
        <v>2.94</v>
      </c>
      <c r="I44" s="12">
        <v>0</v>
      </c>
    </row>
    <row r="45" spans="2:9" ht="15" customHeight="1" x14ac:dyDescent="0.2">
      <c r="B45" t="s">
        <v>86</v>
      </c>
      <c r="C45" s="12">
        <v>3</v>
      </c>
      <c r="D45" s="8">
        <v>1.32</v>
      </c>
      <c r="E45" s="12">
        <v>2</v>
      </c>
      <c r="F45" s="8">
        <v>1.63</v>
      </c>
      <c r="G45" s="12">
        <v>1</v>
      </c>
      <c r="H45" s="8">
        <v>0.98</v>
      </c>
      <c r="I45" s="12">
        <v>0</v>
      </c>
    </row>
    <row r="46" spans="2:9" ht="15" customHeight="1" x14ac:dyDescent="0.2">
      <c r="B46" t="s">
        <v>106</v>
      </c>
      <c r="C46" s="12">
        <v>3</v>
      </c>
      <c r="D46" s="8">
        <v>1.32</v>
      </c>
      <c r="E46" s="12">
        <v>2</v>
      </c>
      <c r="F46" s="8">
        <v>1.63</v>
      </c>
      <c r="G46" s="12">
        <v>1</v>
      </c>
      <c r="H46" s="8">
        <v>0.98</v>
      </c>
      <c r="I46" s="12">
        <v>0</v>
      </c>
    </row>
    <row r="47" spans="2:9" ht="15" customHeight="1" x14ac:dyDescent="0.2">
      <c r="B47" t="s">
        <v>101</v>
      </c>
      <c r="C47" s="12">
        <v>3</v>
      </c>
      <c r="D47" s="8">
        <v>1.32</v>
      </c>
      <c r="E47" s="12">
        <v>1</v>
      </c>
      <c r="F47" s="8">
        <v>0.81</v>
      </c>
      <c r="G47" s="12">
        <v>1</v>
      </c>
      <c r="H47" s="8">
        <v>0.98</v>
      </c>
      <c r="I47" s="12">
        <v>0</v>
      </c>
    </row>
    <row r="50" spans="2:9" ht="33" customHeight="1" x14ac:dyDescent="0.2">
      <c r="B50" t="s">
        <v>283</v>
      </c>
      <c r="C50" s="10" t="s">
        <v>67</v>
      </c>
      <c r="D50" s="10" t="s">
        <v>68</v>
      </c>
      <c r="E50" s="10" t="s">
        <v>69</v>
      </c>
      <c r="F50" s="10" t="s">
        <v>70</v>
      </c>
      <c r="G50" s="10" t="s">
        <v>71</v>
      </c>
      <c r="H50" s="10" t="s">
        <v>72</v>
      </c>
      <c r="I50" s="10" t="s">
        <v>73</v>
      </c>
    </row>
    <row r="51" spans="2:9" ht="15" customHeight="1" x14ac:dyDescent="0.2">
      <c r="B51" t="s">
        <v>151</v>
      </c>
      <c r="C51" s="12">
        <v>14</v>
      </c>
      <c r="D51" s="8">
        <v>6.14</v>
      </c>
      <c r="E51" s="12">
        <v>11</v>
      </c>
      <c r="F51" s="8">
        <v>8.94</v>
      </c>
      <c r="G51" s="12">
        <v>3</v>
      </c>
      <c r="H51" s="8">
        <v>2.94</v>
      </c>
      <c r="I51" s="12">
        <v>0</v>
      </c>
    </row>
    <row r="52" spans="2:9" ht="15" customHeight="1" x14ac:dyDescent="0.2">
      <c r="B52" t="s">
        <v>141</v>
      </c>
      <c r="C52" s="12">
        <v>11</v>
      </c>
      <c r="D52" s="8">
        <v>4.82</v>
      </c>
      <c r="E52" s="12">
        <v>8</v>
      </c>
      <c r="F52" s="8">
        <v>6.5</v>
      </c>
      <c r="G52" s="12">
        <v>3</v>
      </c>
      <c r="H52" s="8">
        <v>2.94</v>
      </c>
      <c r="I52" s="12">
        <v>0</v>
      </c>
    </row>
    <row r="53" spans="2:9" ht="15" customHeight="1" x14ac:dyDescent="0.2">
      <c r="B53" t="s">
        <v>154</v>
      </c>
      <c r="C53" s="12">
        <v>8</v>
      </c>
      <c r="D53" s="8">
        <v>3.51</v>
      </c>
      <c r="E53" s="12">
        <v>8</v>
      </c>
      <c r="F53" s="8">
        <v>6.5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153</v>
      </c>
      <c r="C54" s="12">
        <v>7</v>
      </c>
      <c r="D54" s="8">
        <v>3.07</v>
      </c>
      <c r="E54" s="12">
        <v>6</v>
      </c>
      <c r="F54" s="8">
        <v>4.88</v>
      </c>
      <c r="G54" s="12">
        <v>1</v>
      </c>
      <c r="H54" s="8">
        <v>0.98</v>
      </c>
      <c r="I54" s="12">
        <v>0</v>
      </c>
    </row>
    <row r="55" spans="2:9" ht="15" customHeight="1" x14ac:dyDescent="0.2">
      <c r="B55" t="s">
        <v>135</v>
      </c>
      <c r="C55" s="12">
        <v>6</v>
      </c>
      <c r="D55" s="8">
        <v>2.63</v>
      </c>
      <c r="E55" s="12">
        <v>0</v>
      </c>
      <c r="F55" s="8">
        <v>0</v>
      </c>
      <c r="G55" s="12">
        <v>6</v>
      </c>
      <c r="H55" s="8">
        <v>5.88</v>
      </c>
      <c r="I55" s="12">
        <v>0</v>
      </c>
    </row>
    <row r="56" spans="2:9" ht="15" customHeight="1" x14ac:dyDescent="0.2">
      <c r="B56" t="s">
        <v>138</v>
      </c>
      <c r="C56" s="12">
        <v>6</v>
      </c>
      <c r="D56" s="8">
        <v>2.63</v>
      </c>
      <c r="E56" s="12">
        <v>4</v>
      </c>
      <c r="F56" s="8">
        <v>3.25</v>
      </c>
      <c r="G56" s="12">
        <v>2</v>
      </c>
      <c r="H56" s="8">
        <v>1.96</v>
      </c>
      <c r="I56" s="12">
        <v>0</v>
      </c>
    </row>
    <row r="57" spans="2:9" ht="15" customHeight="1" x14ac:dyDescent="0.2">
      <c r="B57" t="s">
        <v>147</v>
      </c>
      <c r="C57" s="12">
        <v>6</v>
      </c>
      <c r="D57" s="8">
        <v>2.63</v>
      </c>
      <c r="E57" s="12">
        <v>5</v>
      </c>
      <c r="F57" s="8">
        <v>4.07</v>
      </c>
      <c r="G57" s="12">
        <v>1</v>
      </c>
      <c r="H57" s="8">
        <v>0.98</v>
      </c>
      <c r="I57" s="12">
        <v>0</v>
      </c>
    </row>
    <row r="58" spans="2:9" ht="15" customHeight="1" x14ac:dyDescent="0.2">
      <c r="B58" t="s">
        <v>185</v>
      </c>
      <c r="C58" s="12">
        <v>5</v>
      </c>
      <c r="D58" s="8">
        <v>2.19</v>
      </c>
      <c r="E58" s="12">
        <v>4</v>
      </c>
      <c r="F58" s="8">
        <v>3.25</v>
      </c>
      <c r="G58" s="12">
        <v>1</v>
      </c>
      <c r="H58" s="8">
        <v>0.98</v>
      </c>
      <c r="I58" s="12">
        <v>0</v>
      </c>
    </row>
    <row r="59" spans="2:9" ht="15" customHeight="1" x14ac:dyDescent="0.2">
      <c r="B59" t="s">
        <v>139</v>
      </c>
      <c r="C59" s="12">
        <v>5</v>
      </c>
      <c r="D59" s="8">
        <v>2.19</v>
      </c>
      <c r="E59" s="12">
        <v>2</v>
      </c>
      <c r="F59" s="8">
        <v>1.63</v>
      </c>
      <c r="G59" s="12">
        <v>3</v>
      </c>
      <c r="H59" s="8">
        <v>2.94</v>
      </c>
      <c r="I59" s="12">
        <v>0</v>
      </c>
    </row>
    <row r="60" spans="2:9" ht="15" customHeight="1" x14ac:dyDescent="0.2">
      <c r="B60" t="s">
        <v>174</v>
      </c>
      <c r="C60" s="12">
        <v>5</v>
      </c>
      <c r="D60" s="8">
        <v>2.19</v>
      </c>
      <c r="E60" s="12">
        <v>3</v>
      </c>
      <c r="F60" s="8">
        <v>2.44</v>
      </c>
      <c r="G60" s="12">
        <v>2</v>
      </c>
      <c r="H60" s="8">
        <v>1.96</v>
      </c>
      <c r="I60" s="12">
        <v>0</v>
      </c>
    </row>
    <row r="61" spans="2:9" ht="15" customHeight="1" x14ac:dyDescent="0.2">
      <c r="B61" t="s">
        <v>140</v>
      </c>
      <c r="C61" s="12">
        <v>5</v>
      </c>
      <c r="D61" s="8">
        <v>2.19</v>
      </c>
      <c r="E61" s="12">
        <v>2</v>
      </c>
      <c r="F61" s="8">
        <v>1.63</v>
      </c>
      <c r="G61" s="12">
        <v>3</v>
      </c>
      <c r="H61" s="8">
        <v>2.94</v>
      </c>
      <c r="I61" s="12">
        <v>0</v>
      </c>
    </row>
    <row r="62" spans="2:9" ht="15" customHeight="1" x14ac:dyDescent="0.2">
      <c r="B62" t="s">
        <v>150</v>
      </c>
      <c r="C62" s="12">
        <v>5</v>
      </c>
      <c r="D62" s="8">
        <v>2.19</v>
      </c>
      <c r="E62" s="12">
        <v>5</v>
      </c>
      <c r="F62" s="8">
        <v>4.07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254</v>
      </c>
      <c r="C63" s="12">
        <v>4</v>
      </c>
      <c r="D63" s="8">
        <v>1.75</v>
      </c>
      <c r="E63" s="12">
        <v>3</v>
      </c>
      <c r="F63" s="8">
        <v>2.44</v>
      </c>
      <c r="G63" s="12">
        <v>1</v>
      </c>
      <c r="H63" s="8">
        <v>0.98</v>
      </c>
      <c r="I63" s="12">
        <v>0</v>
      </c>
    </row>
    <row r="64" spans="2:9" ht="15" customHeight="1" x14ac:dyDescent="0.2">
      <c r="B64" t="s">
        <v>143</v>
      </c>
      <c r="C64" s="12">
        <v>4</v>
      </c>
      <c r="D64" s="8">
        <v>1.75</v>
      </c>
      <c r="E64" s="12">
        <v>0</v>
      </c>
      <c r="F64" s="8">
        <v>0</v>
      </c>
      <c r="G64" s="12">
        <v>4</v>
      </c>
      <c r="H64" s="8">
        <v>3.92</v>
      </c>
      <c r="I64" s="12">
        <v>0</v>
      </c>
    </row>
    <row r="65" spans="2:9" ht="15" customHeight="1" x14ac:dyDescent="0.2">
      <c r="B65" t="s">
        <v>227</v>
      </c>
      <c r="C65" s="12">
        <v>4</v>
      </c>
      <c r="D65" s="8">
        <v>1.75</v>
      </c>
      <c r="E65" s="12">
        <v>3</v>
      </c>
      <c r="F65" s="8">
        <v>2.44</v>
      </c>
      <c r="G65" s="12">
        <v>1</v>
      </c>
      <c r="H65" s="8">
        <v>0.98</v>
      </c>
      <c r="I65" s="12">
        <v>0</v>
      </c>
    </row>
    <row r="66" spans="2:9" ht="15" customHeight="1" x14ac:dyDescent="0.2">
      <c r="B66" t="s">
        <v>171</v>
      </c>
      <c r="C66" s="12">
        <v>4</v>
      </c>
      <c r="D66" s="8">
        <v>1.75</v>
      </c>
      <c r="E66" s="12">
        <v>3</v>
      </c>
      <c r="F66" s="8">
        <v>2.44</v>
      </c>
      <c r="G66" s="12">
        <v>1</v>
      </c>
      <c r="H66" s="8">
        <v>0.98</v>
      </c>
      <c r="I66" s="12">
        <v>0</v>
      </c>
    </row>
    <row r="67" spans="2:9" ht="15" customHeight="1" x14ac:dyDescent="0.2">
      <c r="B67" t="s">
        <v>136</v>
      </c>
      <c r="C67" s="12">
        <v>3</v>
      </c>
      <c r="D67" s="8">
        <v>1.32</v>
      </c>
      <c r="E67" s="12">
        <v>2</v>
      </c>
      <c r="F67" s="8">
        <v>1.63</v>
      </c>
      <c r="G67" s="12">
        <v>1</v>
      </c>
      <c r="H67" s="8">
        <v>0.98</v>
      </c>
      <c r="I67" s="12">
        <v>0</v>
      </c>
    </row>
    <row r="68" spans="2:9" ht="15" customHeight="1" x14ac:dyDescent="0.2">
      <c r="B68" t="s">
        <v>137</v>
      </c>
      <c r="C68" s="12">
        <v>3</v>
      </c>
      <c r="D68" s="8">
        <v>1.32</v>
      </c>
      <c r="E68" s="12">
        <v>1</v>
      </c>
      <c r="F68" s="8">
        <v>0.81</v>
      </c>
      <c r="G68" s="12">
        <v>2</v>
      </c>
      <c r="H68" s="8">
        <v>1.96</v>
      </c>
      <c r="I68" s="12">
        <v>0</v>
      </c>
    </row>
    <row r="69" spans="2:9" ht="15" customHeight="1" x14ac:dyDescent="0.2">
      <c r="B69" t="s">
        <v>233</v>
      </c>
      <c r="C69" s="12">
        <v>3</v>
      </c>
      <c r="D69" s="8">
        <v>1.32</v>
      </c>
      <c r="E69" s="12">
        <v>0</v>
      </c>
      <c r="F69" s="8">
        <v>0</v>
      </c>
      <c r="G69" s="12">
        <v>3</v>
      </c>
      <c r="H69" s="8">
        <v>2.94</v>
      </c>
      <c r="I69" s="12">
        <v>0</v>
      </c>
    </row>
    <row r="70" spans="2:9" ht="15" customHeight="1" x14ac:dyDescent="0.2">
      <c r="B70" t="s">
        <v>219</v>
      </c>
      <c r="C70" s="12">
        <v>3</v>
      </c>
      <c r="D70" s="8">
        <v>1.32</v>
      </c>
      <c r="E70" s="12">
        <v>0</v>
      </c>
      <c r="F70" s="8">
        <v>0</v>
      </c>
      <c r="G70" s="12">
        <v>3</v>
      </c>
      <c r="H70" s="8">
        <v>2.94</v>
      </c>
      <c r="I70" s="12">
        <v>0</v>
      </c>
    </row>
    <row r="71" spans="2:9" ht="15" customHeight="1" x14ac:dyDescent="0.2">
      <c r="B71" t="s">
        <v>202</v>
      </c>
      <c r="C71" s="12">
        <v>3</v>
      </c>
      <c r="D71" s="8">
        <v>1.32</v>
      </c>
      <c r="E71" s="12">
        <v>3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203</v>
      </c>
      <c r="C72" s="12">
        <v>3</v>
      </c>
      <c r="D72" s="8">
        <v>1.32</v>
      </c>
      <c r="E72" s="12">
        <v>0</v>
      </c>
      <c r="F72" s="8">
        <v>0</v>
      </c>
      <c r="G72" s="12">
        <v>3</v>
      </c>
      <c r="H72" s="8">
        <v>2.94</v>
      </c>
      <c r="I72" s="12">
        <v>0</v>
      </c>
    </row>
    <row r="73" spans="2:9" ht="15" customHeight="1" x14ac:dyDescent="0.2">
      <c r="B73" t="s">
        <v>168</v>
      </c>
      <c r="C73" s="12">
        <v>3</v>
      </c>
      <c r="D73" s="8">
        <v>1.32</v>
      </c>
      <c r="E73" s="12">
        <v>0</v>
      </c>
      <c r="F73" s="8">
        <v>0</v>
      </c>
      <c r="G73" s="12">
        <v>3</v>
      </c>
      <c r="H73" s="8">
        <v>2.94</v>
      </c>
      <c r="I73" s="12">
        <v>0</v>
      </c>
    </row>
    <row r="74" spans="2:9" ht="15" customHeight="1" x14ac:dyDescent="0.2">
      <c r="B74" t="s">
        <v>146</v>
      </c>
      <c r="C74" s="12">
        <v>3</v>
      </c>
      <c r="D74" s="8">
        <v>1.32</v>
      </c>
      <c r="E74" s="12">
        <v>1</v>
      </c>
      <c r="F74" s="8">
        <v>0.81</v>
      </c>
      <c r="G74" s="12">
        <v>2</v>
      </c>
      <c r="H74" s="8">
        <v>1.96</v>
      </c>
      <c r="I74" s="12">
        <v>0</v>
      </c>
    </row>
    <row r="75" spans="2:9" ht="15" customHeight="1" x14ac:dyDescent="0.2">
      <c r="B75" t="s">
        <v>148</v>
      </c>
      <c r="C75" s="12">
        <v>3</v>
      </c>
      <c r="D75" s="8">
        <v>1.32</v>
      </c>
      <c r="E75" s="12">
        <v>3</v>
      </c>
      <c r="F75" s="8">
        <v>2.44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255</v>
      </c>
      <c r="C76" s="12">
        <v>3</v>
      </c>
      <c r="D76" s="8">
        <v>1.32</v>
      </c>
      <c r="E76" s="12">
        <v>0</v>
      </c>
      <c r="F76" s="8">
        <v>0</v>
      </c>
      <c r="G76" s="12">
        <v>3</v>
      </c>
      <c r="H76" s="8">
        <v>2.94</v>
      </c>
      <c r="I76" s="12">
        <v>0</v>
      </c>
    </row>
    <row r="77" spans="2:9" ht="15" customHeight="1" x14ac:dyDescent="0.2">
      <c r="B77" t="s">
        <v>152</v>
      </c>
      <c r="C77" s="12">
        <v>3</v>
      </c>
      <c r="D77" s="8">
        <v>1.32</v>
      </c>
      <c r="E77" s="12">
        <v>3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210</v>
      </c>
      <c r="C78" s="12">
        <v>3</v>
      </c>
      <c r="D78" s="8">
        <v>1.32</v>
      </c>
      <c r="E78" s="12">
        <v>3</v>
      </c>
      <c r="F78" s="8">
        <v>2.44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B938-6257-4A32-B7E8-7D7B101A563D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29</v>
      </c>
      <c r="D6" s="8">
        <v>11.15</v>
      </c>
      <c r="E6" s="12">
        <v>16</v>
      </c>
      <c r="F6" s="8">
        <v>9.0399999999999991</v>
      </c>
      <c r="G6" s="12">
        <v>13</v>
      </c>
      <c r="H6" s="8">
        <v>16.670000000000002</v>
      </c>
      <c r="I6" s="12">
        <v>0</v>
      </c>
    </row>
    <row r="7" spans="2:9" ht="15" customHeight="1" x14ac:dyDescent="0.2">
      <c r="B7" t="s">
        <v>53</v>
      </c>
      <c r="C7" s="12">
        <v>27</v>
      </c>
      <c r="D7" s="8">
        <v>10.38</v>
      </c>
      <c r="E7" s="12">
        <v>14</v>
      </c>
      <c r="F7" s="8">
        <v>7.91</v>
      </c>
      <c r="G7" s="12">
        <v>13</v>
      </c>
      <c r="H7" s="8">
        <v>16.670000000000002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1.28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62</v>
      </c>
      <c r="D11" s="8">
        <v>23.85</v>
      </c>
      <c r="E11" s="12">
        <v>34</v>
      </c>
      <c r="F11" s="8">
        <v>19.21</v>
      </c>
      <c r="G11" s="12">
        <v>28</v>
      </c>
      <c r="H11" s="8">
        <v>35.9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1.28</v>
      </c>
      <c r="I12" s="12">
        <v>0</v>
      </c>
    </row>
    <row r="13" spans="2:9" ht="15" customHeight="1" x14ac:dyDescent="0.2">
      <c r="B13" t="s">
        <v>59</v>
      </c>
      <c r="C13" s="12">
        <v>8</v>
      </c>
      <c r="D13" s="8">
        <v>3.08</v>
      </c>
      <c r="E13" s="12">
        <v>2</v>
      </c>
      <c r="F13" s="8">
        <v>1.1299999999999999</v>
      </c>
      <c r="G13" s="12">
        <v>6</v>
      </c>
      <c r="H13" s="8">
        <v>7.69</v>
      </c>
      <c r="I13" s="12">
        <v>0</v>
      </c>
    </row>
    <row r="14" spans="2:9" ht="15" customHeight="1" x14ac:dyDescent="0.2">
      <c r="B14" t="s">
        <v>60</v>
      </c>
      <c r="C14" s="12">
        <v>16</v>
      </c>
      <c r="D14" s="8">
        <v>6.15</v>
      </c>
      <c r="E14" s="12">
        <v>13</v>
      </c>
      <c r="F14" s="8">
        <v>7.34</v>
      </c>
      <c r="G14" s="12">
        <v>3</v>
      </c>
      <c r="H14" s="8">
        <v>3.85</v>
      </c>
      <c r="I14" s="12">
        <v>0</v>
      </c>
    </row>
    <row r="15" spans="2:9" ht="15" customHeight="1" x14ac:dyDescent="0.2">
      <c r="B15" t="s">
        <v>61</v>
      </c>
      <c r="C15" s="12">
        <v>40</v>
      </c>
      <c r="D15" s="8">
        <v>15.38</v>
      </c>
      <c r="E15" s="12">
        <v>38</v>
      </c>
      <c r="F15" s="8">
        <v>21.47</v>
      </c>
      <c r="G15" s="12">
        <v>1</v>
      </c>
      <c r="H15" s="8">
        <v>1.28</v>
      </c>
      <c r="I15" s="12">
        <v>0</v>
      </c>
    </row>
    <row r="16" spans="2:9" ht="15" customHeight="1" x14ac:dyDescent="0.2">
      <c r="B16" t="s">
        <v>62</v>
      </c>
      <c r="C16" s="12">
        <v>53</v>
      </c>
      <c r="D16" s="8">
        <v>20.38</v>
      </c>
      <c r="E16" s="12">
        <v>47</v>
      </c>
      <c r="F16" s="8">
        <v>26.55</v>
      </c>
      <c r="G16" s="12">
        <v>5</v>
      </c>
      <c r="H16" s="8">
        <v>6.41</v>
      </c>
      <c r="I16" s="12">
        <v>0</v>
      </c>
    </row>
    <row r="17" spans="2:9" ht="15" customHeight="1" x14ac:dyDescent="0.2">
      <c r="B17" t="s">
        <v>63</v>
      </c>
      <c r="C17" s="12">
        <v>8</v>
      </c>
      <c r="D17" s="8">
        <v>3.08</v>
      </c>
      <c r="E17" s="12">
        <v>4</v>
      </c>
      <c r="F17" s="8">
        <v>2.2599999999999998</v>
      </c>
      <c r="G17" s="12">
        <v>2</v>
      </c>
      <c r="H17" s="8">
        <v>2.56</v>
      </c>
      <c r="I17" s="12">
        <v>1</v>
      </c>
    </row>
    <row r="18" spans="2:9" ht="15" customHeight="1" x14ac:dyDescent="0.2">
      <c r="B18" t="s">
        <v>64</v>
      </c>
      <c r="C18" s="12">
        <v>6</v>
      </c>
      <c r="D18" s="8">
        <v>2.31</v>
      </c>
      <c r="E18" s="12">
        <v>3</v>
      </c>
      <c r="F18" s="8">
        <v>1.69</v>
      </c>
      <c r="G18" s="12">
        <v>3</v>
      </c>
      <c r="H18" s="8">
        <v>3.85</v>
      </c>
      <c r="I18" s="12">
        <v>0</v>
      </c>
    </row>
    <row r="19" spans="2:9" ht="15" customHeight="1" x14ac:dyDescent="0.2">
      <c r="B19" t="s">
        <v>65</v>
      </c>
      <c r="C19" s="12">
        <v>9</v>
      </c>
      <c r="D19" s="8">
        <v>3.46</v>
      </c>
      <c r="E19" s="12">
        <v>6</v>
      </c>
      <c r="F19" s="8">
        <v>3.39</v>
      </c>
      <c r="G19" s="12">
        <v>2</v>
      </c>
      <c r="H19" s="8">
        <v>2.56</v>
      </c>
      <c r="I19" s="12">
        <v>1</v>
      </c>
    </row>
    <row r="20" spans="2:9" ht="15" customHeight="1" x14ac:dyDescent="0.2">
      <c r="B20" s="9" t="s">
        <v>281</v>
      </c>
      <c r="C20" s="12">
        <f>SUM(LTBL_43505[総数／事業所数])</f>
        <v>260</v>
      </c>
      <c r="E20" s="12">
        <f>SUBTOTAL(109,LTBL_43505[個人／事業所数])</f>
        <v>177</v>
      </c>
      <c r="G20" s="12">
        <f>SUBTOTAL(109,LTBL_43505[法人／事業所数])</f>
        <v>78</v>
      </c>
      <c r="I20" s="12">
        <f>SUBTOTAL(109,LTBL_43505[法人以外の団体／事業所数])</f>
        <v>2</v>
      </c>
    </row>
    <row r="21" spans="2:9" ht="15" customHeight="1" x14ac:dyDescent="0.2">
      <c r="E21" s="11">
        <f>LTBL_43505[[#Totals],[個人／事業所数]]/LTBL_43505[[#Totals],[総数／事業所数]]</f>
        <v>0.68076923076923079</v>
      </c>
      <c r="G21" s="11">
        <f>LTBL_43505[[#Totals],[法人／事業所数]]/LTBL_43505[[#Totals],[総数／事業所数]]</f>
        <v>0.3</v>
      </c>
      <c r="I21" s="11">
        <f>LTBL_43505[[#Totals],[法人以外の団体／事業所数]]/LTBL_43505[[#Totals],[総数／事業所数]]</f>
        <v>7.6923076923076927E-3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47</v>
      </c>
      <c r="D24" s="8">
        <v>18.079999999999998</v>
      </c>
      <c r="E24" s="12">
        <v>44</v>
      </c>
      <c r="F24" s="8">
        <v>24.86</v>
      </c>
      <c r="G24" s="12">
        <v>2</v>
      </c>
      <c r="H24" s="8">
        <v>2.56</v>
      </c>
      <c r="I24" s="12">
        <v>0</v>
      </c>
    </row>
    <row r="25" spans="2:9" ht="15" customHeight="1" x14ac:dyDescent="0.2">
      <c r="B25" t="s">
        <v>88</v>
      </c>
      <c r="C25" s="12">
        <v>35</v>
      </c>
      <c r="D25" s="8">
        <v>13.46</v>
      </c>
      <c r="E25" s="12">
        <v>35</v>
      </c>
      <c r="F25" s="8">
        <v>19.77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83</v>
      </c>
      <c r="C26" s="12">
        <v>25</v>
      </c>
      <c r="D26" s="8">
        <v>9.6199999999999992</v>
      </c>
      <c r="E26" s="12">
        <v>13</v>
      </c>
      <c r="F26" s="8">
        <v>7.34</v>
      </c>
      <c r="G26" s="12">
        <v>12</v>
      </c>
      <c r="H26" s="8">
        <v>15.38</v>
      </c>
      <c r="I26" s="12">
        <v>0</v>
      </c>
    </row>
    <row r="27" spans="2:9" ht="15" customHeight="1" x14ac:dyDescent="0.2">
      <c r="B27" t="s">
        <v>74</v>
      </c>
      <c r="C27" s="12">
        <v>11</v>
      </c>
      <c r="D27" s="8">
        <v>4.2300000000000004</v>
      </c>
      <c r="E27" s="12">
        <v>6</v>
      </c>
      <c r="F27" s="8">
        <v>3.39</v>
      </c>
      <c r="G27" s="12">
        <v>5</v>
      </c>
      <c r="H27" s="8">
        <v>6.41</v>
      </c>
      <c r="I27" s="12">
        <v>0</v>
      </c>
    </row>
    <row r="28" spans="2:9" ht="15" customHeight="1" x14ac:dyDescent="0.2">
      <c r="B28" t="s">
        <v>75</v>
      </c>
      <c r="C28" s="12">
        <v>11</v>
      </c>
      <c r="D28" s="8">
        <v>4.2300000000000004</v>
      </c>
      <c r="E28" s="12">
        <v>8</v>
      </c>
      <c r="F28" s="8">
        <v>4.5199999999999996</v>
      </c>
      <c r="G28" s="12">
        <v>3</v>
      </c>
      <c r="H28" s="8">
        <v>3.85</v>
      </c>
      <c r="I28" s="12">
        <v>0</v>
      </c>
    </row>
    <row r="29" spans="2:9" ht="15" customHeight="1" x14ac:dyDescent="0.2">
      <c r="B29" t="s">
        <v>82</v>
      </c>
      <c r="C29" s="12">
        <v>10</v>
      </c>
      <c r="D29" s="8">
        <v>3.85</v>
      </c>
      <c r="E29" s="12">
        <v>4</v>
      </c>
      <c r="F29" s="8">
        <v>2.2599999999999998</v>
      </c>
      <c r="G29" s="12">
        <v>6</v>
      </c>
      <c r="H29" s="8">
        <v>7.69</v>
      </c>
      <c r="I29" s="12">
        <v>0</v>
      </c>
    </row>
    <row r="30" spans="2:9" ht="15" customHeight="1" x14ac:dyDescent="0.2">
      <c r="B30" t="s">
        <v>87</v>
      </c>
      <c r="C30" s="12">
        <v>10</v>
      </c>
      <c r="D30" s="8">
        <v>3.85</v>
      </c>
      <c r="E30" s="12">
        <v>9</v>
      </c>
      <c r="F30" s="8">
        <v>5.08</v>
      </c>
      <c r="G30" s="12">
        <v>1</v>
      </c>
      <c r="H30" s="8">
        <v>1.28</v>
      </c>
      <c r="I30" s="12">
        <v>0</v>
      </c>
    </row>
    <row r="31" spans="2:9" ht="15" customHeight="1" x14ac:dyDescent="0.2">
      <c r="B31" t="s">
        <v>81</v>
      </c>
      <c r="C31" s="12">
        <v>9</v>
      </c>
      <c r="D31" s="8">
        <v>3.46</v>
      </c>
      <c r="E31" s="12">
        <v>6</v>
      </c>
      <c r="F31" s="8">
        <v>3.39</v>
      </c>
      <c r="G31" s="12">
        <v>3</v>
      </c>
      <c r="H31" s="8">
        <v>3.85</v>
      </c>
      <c r="I31" s="12">
        <v>0</v>
      </c>
    </row>
    <row r="32" spans="2:9" ht="15" customHeight="1" x14ac:dyDescent="0.2">
      <c r="B32" t="s">
        <v>90</v>
      </c>
      <c r="C32" s="12">
        <v>8</v>
      </c>
      <c r="D32" s="8">
        <v>3.08</v>
      </c>
      <c r="E32" s="12">
        <v>4</v>
      </c>
      <c r="F32" s="8">
        <v>2.2599999999999998</v>
      </c>
      <c r="G32" s="12">
        <v>2</v>
      </c>
      <c r="H32" s="8">
        <v>2.56</v>
      </c>
      <c r="I32" s="12">
        <v>1</v>
      </c>
    </row>
    <row r="33" spans="2:9" ht="15" customHeight="1" x14ac:dyDescent="0.2">
      <c r="B33" t="s">
        <v>76</v>
      </c>
      <c r="C33" s="12">
        <v>7</v>
      </c>
      <c r="D33" s="8">
        <v>2.69</v>
      </c>
      <c r="E33" s="12">
        <v>2</v>
      </c>
      <c r="F33" s="8">
        <v>1.1299999999999999</v>
      </c>
      <c r="G33" s="12">
        <v>5</v>
      </c>
      <c r="H33" s="8">
        <v>6.41</v>
      </c>
      <c r="I33" s="12">
        <v>0</v>
      </c>
    </row>
    <row r="34" spans="2:9" ht="15" customHeight="1" x14ac:dyDescent="0.2">
      <c r="B34" t="s">
        <v>77</v>
      </c>
      <c r="C34" s="12">
        <v>6</v>
      </c>
      <c r="D34" s="8">
        <v>2.31</v>
      </c>
      <c r="E34" s="12">
        <v>4</v>
      </c>
      <c r="F34" s="8">
        <v>2.2599999999999998</v>
      </c>
      <c r="G34" s="12">
        <v>2</v>
      </c>
      <c r="H34" s="8">
        <v>2.56</v>
      </c>
      <c r="I34" s="12">
        <v>0</v>
      </c>
    </row>
    <row r="35" spans="2:9" ht="15" customHeight="1" x14ac:dyDescent="0.2">
      <c r="B35" t="s">
        <v>109</v>
      </c>
      <c r="C35" s="12">
        <v>6</v>
      </c>
      <c r="D35" s="8">
        <v>2.31</v>
      </c>
      <c r="E35" s="12">
        <v>2</v>
      </c>
      <c r="F35" s="8">
        <v>1.1299999999999999</v>
      </c>
      <c r="G35" s="12">
        <v>4</v>
      </c>
      <c r="H35" s="8">
        <v>5.13</v>
      </c>
      <c r="I35" s="12">
        <v>0</v>
      </c>
    </row>
    <row r="36" spans="2:9" ht="15" customHeight="1" x14ac:dyDescent="0.2">
      <c r="B36" t="s">
        <v>86</v>
      </c>
      <c r="C36" s="12">
        <v>6</v>
      </c>
      <c r="D36" s="8">
        <v>2.31</v>
      </c>
      <c r="E36" s="12">
        <v>4</v>
      </c>
      <c r="F36" s="8">
        <v>2.2599999999999998</v>
      </c>
      <c r="G36" s="12">
        <v>2</v>
      </c>
      <c r="H36" s="8">
        <v>2.56</v>
      </c>
      <c r="I36" s="12">
        <v>0</v>
      </c>
    </row>
    <row r="37" spans="2:9" ht="15" customHeight="1" x14ac:dyDescent="0.2">
      <c r="B37" t="s">
        <v>97</v>
      </c>
      <c r="C37" s="12">
        <v>5</v>
      </c>
      <c r="D37" s="8">
        <v>1.92</v>
      </c>
      <c r="E37" s="12">
        <v>3</v>
      </c>
      <c r="F37" s="8">
        <v>1.69</v>
      </c>
      <c r="G37" s="12">
        <v>2</v>
      </c>
      <c r="H37" s="8">
        <v>2.56</v>
      </c>
      <c r="I37" s="12">
        <v>0</v>
      </c>
    </row>
    <row r="38" spans="2:9" ht="15" customHeight="1" x14ac:dyDescent="0.2">
      <c r="B38" t="s">
        <v>93</v>
      </c>
      <c r="C38" s="12">
        <v>5</v>
      </c>
      <c r="D38" s="8">
        <v>1.92</v>
      </c>
      <c r="E38" s="12">
        <v>4</v>
      </c>
      <c r="F38" s="8">
        <v>2.2599999999999998</v>
      </c>
      <c r="G38" s="12">
        <v>1</v>
      </c>
      <c r="H38" s="8">
        <v>1.28</v>
      </c>
      <c r="I38" s="12">
        <v>0</v>
      </c>
    </row>
    <row r="39" spans="2:9" ht="15" customHeight="1" x14ac:dyDescent="0.2">
      <c r="B39" t="s">
        <v>108</v>
      </c>
      <c r="C39" s="12">
        <v>4</v>
      </c>
      <c r="D39" s="8">
        <v>1.54</v>
      </c>
      <c r="E39" s="12">
        <v>1</v>
      </c>
      <c r="F39" s="8">
        <v>0.56000000000000005</v>
      </c>
      <c r="G39" s="12">
        <v>3</v>
      </c>
      <c r="H39" s="8">
        <v>3.85</v>
      </c>
      <c r="I39" s="12">
        <v>0</v>
      </c>
    </row>
    <row r="40" spans="2:9" ht="15" customHeight="1" x14ac:dyDescent="0.2">
      <c r="B40" t="s">
        <v>110</v>
      </c>
      <c r="C40" s="12">
        <v>4</v>
      </c>
      <c r="D40" s="8">
        <v>1.54</v>
      </c>
      <c r="E40" s="12">
        <v>4</v>
      </c>
      <c r="F40" s="8">
        <v>2.2599999999999998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99</v>
      </c>
      <c r="C41" s="12">
        <v>4</v>
      </c>
      <c r="D41" s="8">
        <v>1.54</v>
      </c>
      <c r="E41" s="12">
        <v>3</v>
      </c>
      <c r="F41" s="8">
        <v>1.69</v>
      </c>
      <c r="G41" s="12">
        <v>1</v>
      </c>
      <c r="H41" s="8">
        <v>1.28</v>
      </c>
      <c r="I41" s="12">
        <v>0</v>
      </c>
    </row>
    <row r="42" spans="2:9" ht="15" customHeight="1" x14ac:dyDescent="0.2">
      <c r="B42" t="s">
        <v>79</v>
      </c>
      <c r="C42" s="12">
        <v>4</v>
      </c>
      <c r="D42" s="8">
        <v>1.54</v>
      </c>
      <c r="E42" s="12">
        <v>1</v>
      </c>
      <c r="F42" s="8">
        <v>0.56000000000000005</v>
      </c>
      <c r="G42" s="12">
        <v>3</v>
      </c>
      <c r="H42" s="8">
        <v>3.85</v>
      </c>
      <c r="I42" s="12">
        <v>0</v>
      </c>
    </row>
    <row r="43" spans="2:9" ht="15" customHeight="1" x14ac:dyDescent="0.2">
      <c r="B43" t="s">
        <v>80</v>
      </c>
      <c r="C43" s="12">
        <v>4</v>
      </c>
      <c r="D43" s="8">
        <v>1.54</v>
      </c>
      <c r="E43" s="12">
        <v>4</v>
      </c>
      <c r="F43" s="8">
        <v>2.2599999999999998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117</v>
      </c>
      <c r="C44" s="12">
        <v>4</v>
      </c>
      <c r="D44" s="8">
        <v>1.54</v>
      </c>
      <c r="E44" s="12">
        <v>1</v>
      </c>
      <c r="F44" s="8">
        <v>0.56000000000000005</v>
      </c>
      <c r="G44" s="12">
        <v>3</v>
      </c>
      <c r="H44" s="8">
        <v>3.85</v>
      </c>
      <c r="I44" s="12">
        <v>0</v>
      </c>
    </row>
    <row r="45" spans="2:9" ht="15" customHeight="1" x14ac:dyDescent="0.2">
      <c r="B45" t="s">
        <v>101</v>
      </c>
      <c r="C45" s="12">
        <v>4</v>
      </c>
      <c r="D45" s="8">
        <v>1.54</v>
      </c>
      <c r="E45" s="12">
        <v>3</v>
      </c>
      <c r="F45" s="8">
        <v>1.69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283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150</v>
      </c>
      <c r="C49" s="12">
        <v>20</v>
      </c>
      <c r="D49" s="8">
        <v>7.69</v>
      </c>
      <c r="E49" s="12">
        <v>20</v>
      </c>
      <c r="F49" s="8">
        <v>11.3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151</v>
      </c>
      <c r="C50" s="12">
        <v>19</v>
      </c>
      <c r="D50" s="8">
        <v>7.31</v>
      </c>
      <c r="E50" s="12">
        <v>19</v>
      </c>
      <c r="F50" s="8">
        <v>10.73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149</v>
      </c>
      <c r="C51" s="12">
        <v>15</v>
      </c>
      <c r="D51" s="8">
        <v>5.77</v>
      </c>
      <c r="E51" s="12">
        <v>15</v>
      </c>
      <c r="F51" s="8">
        <v>8.4700000000000006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148</v>
      </c>
      <c r="C52" s="12">
        <v>11</v>
      </c>
      <c r="D52" s="8">
        <v>4.2300000000000004</v>
      </c>
      <c r="E52" s="12">
        <v>11</v>
      </c>
      <c r="F52" s="8">
        <v>6.21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6</v>
      </c>
      <c r="D53" s="8">
        <v>2.31</v>
      </c>
      <c r="E53" s="12">
        <v>2</v>
      </c>
      <c r="F53" s="8">
        <v>1.1299999999999999</v>
      </c>
      <c r="G53" s="12">
        <v>4</v>
      </c>
      <c r="H53" s="8">
        <v>5.13</v>
      </c>
      <c r="I53" s="12">
        <v>0</v>
      </c>
    </row>
    <row r="54" spans="2:9" ht="15" customHeight="1" x14ac:dyDescent="0.2">
      <c r="B54" t="s">
        <v>141</v>
      </c>
      <c r="C54" s="12">
        <v>6</v>
      </c>
      <c r="D54" s="8">
        <v>2.31</v>
      </c>
      <c r="E54" s="12">
        <v>2</v>
      </c>
      <c r="F54" s="8">
        <v>1.1299999999999999</v>
      </c>
      <c r="G54" s="12">
        <v>4</v>
      </c>
      <c r="H54" s="8">
        <v>5.13</v>
      </c>
      <c r="I54" s="12">
        <v>0</v>
      </c>
    </row>
    <row r="55" spans="2:9" ht="15" customHeight="1" x14ac:dyDescent="0.2">
      <c r="B55" t="s">
        <v>168</v>
      </c>
      <c r="C55" s="12">
        <v>6</v>
      </c>
      <c r="D55" s="8">
        <v>2.31</v>
      </c>
      <c r="E55" s="12">
        <v>3</v>
      </c>
      <c r="F55" s="8">
        <v>1.69</v>
      </c>
      <c r="G55" s="12">
        <v>3</v>
      </c>
      <c r="H55" s="8">
        <v>3.85</v>
      </c>
      <c r="I55" s="12">
        <v>0</v>
      </c>
    </row>
    <row r="56" spans="2:9" ht="15" customHeight="1" x14ac:dyDescent="0.2">
      <c r="B56" t="s">
        <v>146</v>
      </c>
      <c r="C56" s="12">
        <v>6</v>
      </c>
      <c r="D56" s="8">
        <v>2.31</v>
      </c>
      <c r="E56" s="12">
        <v>5</v>
      </c>
      <c r="F56" s="8">
        <v>2.82</v>
      </c>
      <c r="G56" s="12">
        <v>1</v>
      </c>
      <c r="H56" s="8">
        <v>1.28</v>
      </c>
      <c r="I56" s="12">
        <v>0</v>
      </c>
    </row>
    <row r="57" spans="2:9" ht="15" customHeight="1" x14ac:dyDescent="0.2">
      <c r="B57" t="s">
        <v>152</v>
      </c>
      <c r="C57" s="12">
        <v>6</v>
      </c>
      <c r="D57" s="8">
        <v>2.31</v>
      </c>
      <c r="E57" s="12">
        <v>3</v>
      </c>
      <c r="F57" s="8">
        <v>1.69</v>
      </c>
      <c r="G57" s="12">
        <v>2</v>
      </c>
      <c r="H57" s="8">
        <v>2.56</v>
      </c>
      <c r="I57" s="12">
        <v>1</v>
      </c>
    </row>
    <row r="58" spans="2:9" ht="15" customHeight="1" x14ac:dyDescent="0.2">
      <c r="B58" t="s">
        <v>137</v>
      </c>
      <c r="C58" s="12">
        <v>5</v>
      </c>
      <c r="D58" s="8">
        <v>1.92</v>
      </c>
      <c r="E58" s="12">
        <v>4</v>
      </c>
      <c r="F58" s="8">
        <v>2.2599999999999998</v>
      </c>
      <c r="G58" s="12">
        <v>1</v>
      </c>
      <c r="H58" s="8">
        <v>1.28</v>
      </c>
      <c r="I58" s="12">
        <v>0</v>
      </c>
    </row>
    <row r="59" spans="2:9" ht="15" customHeight="1" x14ac:dyDescent="0.2">
      <c r="B59" t="s">
        <v>186</v>
      </c>
      <c r="C59" s="12">
        <v>5</v>
      </c>
      <c r="D59" s="8">
        <v>1.92</v>
      </c>
      <c r="E59" s="12">
        <v>2</v>
      </c>
      <c r="F59" s="8">
        <v>1.1299999999999999</v>
      </c>
      <c r="G59" s="12">
        <v>3</v>
      </c>
      <c r="H59" s="8">
        <v>3.85</v>
      </c>
      <c r="I59" s="12">
        <v>0</v>
      </c>
    </row>
    <row r="60" spans="2:9" ht="15" customHeight="1" x14ac:dyDescent="0.2">
      <c r="B60" t="s">
        <v>143</v>
      </c>
      <c r="C60" s="12">
        <v>5</v>
      </c>
      <c r="D60" s="8">
        <v>1.92</v>
      </c>
      <c r="E60" s="12">
        <v>4</v>
      </c>
      <c r="F60" s="8">
        <v>2.2599999999999998</v>
      </c>
      <c r="G60" s="12">
        <v>1</v>
      </c>
      <c r="H60" s="8">
        <v>1.28</v>
      </c>
      <c r="I60" s="12">
        <v>0</v>
      </c>
    </row>
    <row r="61" spans="2:9" ht="15" customHeight="1" x14ac:dyDescent="0.2">
      <c r="B61" t="s">
        <v>160</v>
      </c>
      <c r="C61" s="12">
        <v>5</v>
      </c>
      <c r="D61" s="8">
        <v>1.92</v>
      </c>
      <c r="E61" s="12">
        <v>3</v>
      </c>
      <c r="F61" s="8">
        <v>1.69</v>
      </c>
      <c r="G61" s="12">
        <v>2</v>
      </c>
      <c r="H61" s="8">
        <v>2.56</v>
      </c>
      <c r="I61" s="12">
        <v>0</v>
      </c>
    </row>
    <row r="62" spans="2:9" ht="15" customHeight="1" x14ac:dyDescent="0.2">
      <c r="B62" t="s">
        <v>154</v>
      </c>
      <c r="C62" s="12">
        <v>5</v>
      </c>
      <c r="D62" s="8">
        <v>1.92</v>
      </c>
      <c r="E62" s="12">
        <v>4</v>
      </c>
      <c r="F62" s="8">
        <v>2.2599999999999998</v>
      </c>
      <c r="G62" s="12">
        <v>1</v>
      </c>
      <c r="H62" s="8">
        <v>1.28</v>
      </c>
      <c r="I62" s="12">
        <v>0</v>
      </c>
    </row>
    <row r="63" spans="2:9" ht="15" customHeight="1" x14ac:dyDescent="0.2">
      <c r="B63" t="s">
        <v>256</v>
      </c>
      <c r="C63" s="12">
        <v>4</v>
      </c>
      <c r="D63" s="8">
        <v>1.54</v>
      </c>
      <c r="E63" s="12">
        <v>1</v>
      </c>
      <c r="F63" s="8">
        <v>0.56000000000000005</v>
      </c>
      <c r="G63" s="12">
        <v>3</v>
      </c>
      <c r="H63" s="8">
        <v>3.85</v>
      </c>
      <c r="I63" s="12">
        <v>0</v>
      </c>
    </row>
    <row r="64" spans="2:9" ht="15" customHeight="1" x14ac:dyDescent="0.2">
      <c r="B64" t="s">
        <v>142</v>
      </c>
      <c r="C64" s="12">
        <v>4</v>
      </c>
      <c r="D64" s="8">
        <v>1.54</v>
      </c>
      <c r="E64" s="12">
        <v>2</v>
      </c>
      <c r="F64" s="8">
        <v>1.1299999999999999</v>
      </c>
      <c r="G64" s="12">
        <v>2</v>
      </c>
      <c r="H64" s="8">
        <v>2.56</v>
      </c>
      <c r="I64" s="12">
        <v>0</v>
      </c>
    </row>
    <row r="65" spans="2:9" ht="15" customHeight="1" x14ac:dyDescent="0.2">
      <c r="B65" t="s">
        <v>227</v>
      </c>
      <c r="C65" s="12">
        <v>4</v>
      </c>
      <c r="D65" s="8">
        <v>1.54</v>
      </c>
      <c r="E65" s="12">
        <v>4</v>
      </c>
      <c r="F65" s="8">
        <v>2.2599999999999998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147</v>
      </c>
      <c r="C66" s="12">
        <v>4</v>
      </c>
      <c r="D66" s="8">
        <v>1.54</v>
      </c>
      <c r="E66" s="12">
        <v>4</v>
      </c>
      <c r="F66" s="8">
        <v>2.2599999999999998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135</v>
      </c>
      <c r="C67" s="12">
        <v>3</v>
      </c>
      <c r="D67" s="8">
        <v>1.1499999999999999</v>
      </c>
      <c r="E67" s="12">
        <v>1</v>
      </c>
      <c r="F67" s="8">
        <v>0.56000000000000005</v>
      </c>
      <c r="G67" s="12">
        <v>2</v>
      </c>
      <c r="H67" s="8">
        <v>2.56</v>
      </c>
      <c r="I67" s="12">
        <v>0</v>
      </c>
    </row>
    <row r="68" spans="2:9" ht="15" customHeight="1" x14ac:dyDescent="0.2">
      <c r="B68" t="s">
        <v>190</v>
      </c>
      <c r="C68" s="12">
        <v>3</v>
      </c>
      <c r="D68" s="8">
        <v>1.1499999999999999</v>
      </c>
      <c r="E68" s="12">
        <v>2</v>
      </c>
      <c r="F68" s="8">
        <v>1.1299999999999999</v>
      </c>
      <c r="G68" s="12">
        <v>1</v>
      </c>
      <c r="H68" s="8">
        <v>1.28</v>
      </c>
      <c r="I68" s="12">
        <v>0</v>
      </c>
    </row>
    <row r="69" spans="2:9" ht="15" customHeight="1" x14ac:dyDescent="0.2">
      <c r="B69" t="s">
        <v>213</v>
      </c>
      <c r="C69" s="12">
        <v>3</v>
      </c>
      <c r="D69" s="8">
        <v>1.1499999999999999</v>
      </c>
      <c r="E69" s="12">
        <v>3</v>
      </c>
      <c r="F69" s="8">
        <v>1.69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257</v>
      </c>
      <c r="C70" s="12">
        <v>3</v>
      </c>
      <c r="D70" s="8">
        <v>1.1499999999999999</v>
      </c>
      <c r="E70" s="12">
        <v>3</v>
      </c>
      <c r="F70" s="8">
        <v>1.69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258</v>
      </c>
      <c r="C71" s="12">
        <v>3</v>
      </c>
      <c r="D71" s="8">
        <v>1.1499999999999999</v>
      </c>
      <c r="E71" s="12">
        <v>0</v>
      </c>
      <c r="F71" s="8">
        <v>0</v>
      </c>
      <c r="G71" s="12">
        <v>3</v>
      </c>
      <c r="H71" s="8">
        <v>3.85</v>
      </c>
      <c r="I71" s="12">
        <v>0</v>
      </c>
    </row>
    <row r="72" spans="2:9" ht="15" customHeight="1" x14ac:dyDescent="0.2">
      <c r="B72" t="s">
        <v>215</v>
      </c>
      <c r="C72" s="12">
        <v>3</v>
      </c>
      <c r="D72" s="8">
        <v>1.1499999999999999</v>
      </c>
      <c r="E72" s="12">
        <v>3</v>
      </c>
      <c r="F72" s="8">
        <v>1.69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140</v>
      </c>
      <c r="C73" s="12">
        <v>3</v>
      </c>
      <c r="D73" s="8">
        <v>1.1499999999999999</v>
      </c>
      <c r="E73" s="12">
        <v>2</v>
      </c>
      <c r="F73" s="8">
        <v>1.1299999999999999</v>
      </c>
      <c r="G73" s="12">
        <v>1</v>
      </c>
      <c r="H73" s="8">
        <v>1.28</v>
      </c>
      <c r="I73" s="12">
        <v>0</v>
      </c>
    </row>
    <row r="74" spans="2:9" ht="15" customHeight="1" x14ac:dyDescent="0.2">
      <c r="B74" t="s">
        <v>234</v>
      </c>
      <c r="C74" s="12">
        <v>3</v>
      </c>
      <c r="D74" s="8">
        <v>1.1499999999999999</v>
      </c>
      <c r="E74" s="12">
        <v>1</v>
      </c>
      <c r="F74" s="8">
        <v>0.56000000000000005</v>
      </c>
      <c r="G74" s="12">
        <v>2</v>
      </c>
      <c r="H74" s="8">
        <v>2.56</v>
      </c>
      <c r="I74" s="12">
        <v>0</v>
      </c>
    </row>
    <row r="75" spans="2:9" ht="15" customHeight="1" x14ac:dyDescent="0.2">
      <c r="B75" t="s">
        <v>170</v>
      </c>
      <c r="C75" s="12">
        <v>3</v>
      </c>
      <c r="D75" s="8">
        <v>1.1499999999999999</v>
      </c>
      <c r="E75" s="12">
        <v>3</v>
      </c>
      <c r="F75" s="8">
        <v>1.69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171</v>
      </c>
      <c r="C76" s="12">
        <v>3</v>
      </c>
      <c r="D76" s="8">
        <v>1.1499999999999999</v>
      </c>
      <c r="E76" s="12">
        <v>3</v>
      </c>
      <c r="F76" s="8">
        <v>1.69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4130-692B-4BBD-A238-156491F0F721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17</v>
      </c>
      <c r="D6" s="8">
        <v>14.78</v>
      </c>
      <c r="E6" s="12">
        <v>8</v>
      </c>
      <c r="F6" s="8">
        <v>10.81</v>
      </c>
      <c r="G6" s="12">
        <v>9</v>
      </c>
      <c r="H6" s="8">
        <v>23.68</v>
      </c>
      <c r="I6" s="12">
        <v>0</v>
      </c>
    </row>
    <row r="7" spans="2:9" ht="15" customHeight="1" x14ac:dyDescent="0.2">
      <c r="B7" t="s">
        <v>53</v>
      </c>
      <c r="C7" s="12">
        <v>12</v>
      </c>
      <c r="D7" s="8">
        <v>10.43</v>
      </c>
      <c r="E7" s="12">
        <v>3</v>
      </c>
      <c r="F7" s="8">
        <v>4.05</v>
      </c>
      <c r="G7" s="12">
        <v>9</v>
      </c>
      <c r="H7" s="8">
        <v>23.68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1.74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0.87</v>
      </c>
      <c r="E9" s="12">
        <v>0</v>
      </c>
      <c r="F9" s="8">
        <v>0</v>
      </c>
      <c r="G9" s="12">
        <v>1</v>
      </c>
      <c r="H9" s="8">
        <v>2.63</v>
      </c>
      <c r="I9" s="12">
        <v>0</v>
      </c>
    </row>
    <row r="10" spans="2:9" ht="15" customHeight="1" x14ac:dyDescent="0.2">
      <c r="B10" t="s">
        <v>56</v>
      </c>
      <c r="C10" s="12">
        <v>1</v>
      </c>
      <c r="D10" s="8">
        <v>0.87</v>
      </c>
      <c r="E10" s="12">
        <v>0</v>
      </c>
      <c r="F10" s="8">
        <v>0</v>
      </c>
      <c r="G10" s="12">
        <v>1</v>
      </c>
      <c r="H10" s="8">
        <v>2.63</v>
      </c>
      <c r="I10" s="12">
        <v>0</v>
      </c>
    </row>
    <row r="11" spans="2:9" ht="15" customHeight="1" x14ac:dyDescent="0.2">
      <c r="B11" t="s">
        <v>57</v>
      </c>
      <c r="C11" s="12">
        <v>35</v>
      </c>
      <c r="D11" s="8">
        <v>30.43</v>
      </c>
      <c r="E11" s="12">
        <v>28</v>
      </c>
      <c r="F11" s="8">
        <v>37.840000000000003</v>
      </c>
      <c r="G11" s="12">
        <v>7</v>
      </c>
      <c r="H11" s="8">
        <v>18.420000000000002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60</v>
      </c>
      <c r="C14" s="12">
        <v>2</v>
      </c>
      <c r="D14" s="8">
        <v>1.74</v>
      </c>
      <c r="E14" s="12">
        <v>2</v>
      </c>
      <c r="F14" s="8">
        <v>2.7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61</v>
      </c>
      <c r="C15" s="12">
        <v>8</v>
      </c>
      <c r="D15" s="8">
        <v>6.96</v>
      </c>
      <c r="E15" s="12">
        <v>7</v>
      </c>
      <c r="F15" s="8">
        <v>9.4600000000000009</v>
      </c>
      <c r="G15" s="12">
        <v>1</v>
      </c>
      <c r="H15" s="8">
        <v>2.63</v>
      </c>
      <c r="I15" s="12">
        <v>0</v>
      </c>
    </row>
    <row r="16" spans="2:9" ht="15" customHeight="1" x14ac:dyDescent="0.2">
      <c r="B16" t="s">
        <v>62</v>
      </c>
      <c r="C16" s="12">
        <v>22</v>
      </c>
      <c r="D16" s="8">
        <v>19.13</v>
      </c>
      <c r="E16" s="12">
        <v>17</v>
      </c>
      <c r="F16" s="8">
        <v>22.97</v>
      </c>
      <c r="G16" s="12">
        <v>4</v>
      </c>
      <c r="H16" s="8">
        <v>10.53</v>
      </c>
      <c r="I16" s="12">
        <v>0</v>
      </c>
    </row>
    <row r="17" spans="2:9" ht="15" customHeight="1" x14ac:dyDescent="0.2">
      <c r="B17" t="s">
        <v>63</v>
      </c>
      <c r="C17" s="12">
        <v>6</v>
      </c>
      <c r="D17" s="8">
        <v>5.22</v>
      </c>
      <c r="E17" s="12">
        <v>6</v>
      </c>
      <c r="F17" s="8">
        <v>8.11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2</v>
      </c>
      <c r="D18" s="8">
        <v>1.74</v>
      </c>
      <c r="E18" s="12">
        <v>1</v>
      </c>
      <c r="F18" s="8">
        <v>1.35</v>
      </c>
      <c r="G18" s="12">
        <v>1</v>
      </c>
      <c r="H18" s="8">
        <v>2.63</v>
      </c>
      <c r="I18" s="12">
        <v>0</v>
      </c>
    </row>
    <row r="19" spans="2:9" ht="15" customHeight="1" x14ac:dyDescent="0.2">
      <c r="B19" t="s">
        <v>65</v>
      </c>
      <c r="C19" s="12">
        <v>7</v>
      </c>
      <c r="D19" s="8">
        <v>6.09</v>
      </c>
      <c r="E19" s="12">
        <v>2</v>
      </c>
      <c r="F19" s="8">
        <v>2.7</v>
      </c>
      <c r="G19" s="12">
        <v>5</v>
      </c>
      <c r="H19" s="8">
        <v>13.16</v>
      </c>
      <c r="I19" s="12">
        <v>0</v>
      </c>
    </row>
    <row r="20" spans="2:9" ht="15" customHeight="1" x14ac:dyDescent="0.2">
      <c r="B20" s="9" t="s">
        <v>281</v>
      </c>
      <c r="C20" s="12">
        <f>SUM(LTBL_43506[総数／事業所数])</f>
        <v>115</v>
      </c>
      <c r="E20" s="12">
        <f>SUBTOTAL(109,LTBL_43506[個人／事業所数])</f>
        <v>74</v>
      </c>
      <c r="G20" s="12">
        <f>SUBTOTAL(109,LTBL_43506[法人／事業所数])</f>
        <v>38</v>
      </c>
      <c r="I20" s="12">
        <f>SUBTOTAL(109,LTBL_43506[法人以外の団体／事業所数])</f>
        <v>0</v>
      </c>
    </row>
    <row r="21" spans="2:9" ht="15" customHeight="1" x14ac:dyDescent="0.2">
      <c r="E21" s="11">
        <f>LTBL_43506[[#Totals],[個人／事業所数]]/LTBL_43506[[#Totals],[総数／事業所数]]</f>
        <v>0.64347826086956517</v>
      </c>
      <c r="G21" s="11">
        <f>LTBL_43506[[#Totals],[法人／事業所数]]/LTBL_43506[[#Totals],[総数／事業所数]]</f>
        <v>0.33043478260869563</v>
      </c>
      <c r="I21" s="11">
        <f>LTBL_43506[[#Totals],[法人以外の団体／事業所数]]/LTBL_43506[[#Totals],[総数／事業所数]]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18</v>
      </c>
      <c r="D24" s="8">
        <v>15.65</v>
      </c>
      <c r="E24" s="12">
        <v>16</v>
      </c>
      <c r="F24" s="8">
        <v>21.62</v>
      </c>
      <c r="G24" s="12">
        <v>2</v>
      </c>
      <c r="H24" s="8">
        <v>5.26</v>
      </c>
      <c r="I24" s="12">
        <v>0</v>
      </c>
    </row>
    <row r="25" spans="2:9" ht="15" customHeight="1" x14ac:dyDescent="0.2">
      <c r="B25" t="s">
        <v>83</v>
      </c>
      <c r="C25" s="12">
        <v>15</v>
      </c>
      <c r="D25" s="8">
        <v>13.04</v>
      </c>
      <c r="E25" s="12">
        <v>9</v>
      </c>
      <c r="F25" s="8">
        <v>12.16</v>
      </c>
      <c r="G25" s="12">
        <v>6</v>
      </c>
      <c r="H25" s="8">
        <v>15.79</v>
      </c>
      <c r="I25" s="12">
        <v>0</v>
      </c>
    </row>
    <row r="26" spans="2:9" ht="15" customHeight="1" x14ac:dyDescent="0.2">
      <c r="B26" t="s">
        <v>74</v>
      </c>
      <c r="C26" s="12">
        <v>12</v>
      </c>
      <c r="D26" s="8">
        <v>10.43</v>
      </c>
      <c r="E26" s="12">
        <v>6</v>
      </c>
      <c r="F26" s="8">
        <v>8.11</v>
      </c>
      <c r="G26" s="12">
        <v>6</v>
      </c>
      <c r="H26" s="8">
        <v>15.79</v>
      </c>
      <c r="I26" s="12">
        <v>0</v>
      </c>
    </row>
    <row r="27" spans="2:9" ht="15" customHeight="1" x14ac:dyDescent="0.2">
      <c r="B27" t="s">
        <v>81</v>
      </c>
      <c r="C27" s="12">
        <v>12</v>
      </c>
      <c r="D27" s="8">
        <v>10.43</v>
      </c>
      <c r="E27" s="12">
        <v>12</v>
      </c>
      <c r="F27" s="8">
        <v>16.22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109</v>
      </c>
      <c r="C28" s="12">
        <v>6</v>
      </c>
      <c r="D28" s="8">
        <v>5.22</v>
      </c>
      <c r="E28" s="12">
        <v>2</v>
      </c>
      <c r="F28" s="8">
        <v>2.7</v>
      </c>
      <c r="G28" s="12">
        <v>4</v>
      </c>
      <c r="H28" s="8">
        <v>10.53</v>
      </c>
      <c r="I28" s="12">
        <v>0</v>
      </c>
    </row>
    <row r="29" spans="2:9" ht="15" customHeight="1" x14ac:dyDescent="0.2">
      <c r="B29" t="s">
        <v>88</v>
      </c>
      <c r="C29" s="12">
        <v>6</v>
      </c>
      <c r="D29" s="8">
        <v>5.22</v>
      </c>
      <c r="E29" s="12">
        <v>5</v>
      </c>
      <c r="F29" s="8">
        <v>6.76</v>
      </c>
      <c r="G29" s="12">
        <v>1</v>
      </c>
      <c r="H29" s="8">
        <v>2.63</v>
      </c>
      <c r="I29" s="12">
        <v>0</v>
      </c>
    </row>
    <row r="30" spans="2:9" ht="15" customHeight="1" x14ac:dyDescent="0.2">
      <c r="B30" t="s">
        <v>90</v>
      </c>
      <c r="C30" s="12">
        <v>6</v>
      </c>
      <c r="D30" s="8">
        <v>5.22</v>
      </c>
      <c r="E30" s="12">
        <v>6</v>
      </c>
      <c r="F30" s="8">
        <v>8.11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75</v>
      </c>
      <c r="C31" s="12">
        <v>4</v>
      </c>
      <c r="D31" s="8">
        <v>3.48</v>
      </c>
      <c r="E31" s="12">
        <v>2</v>
      </c>
      <c r="F31" s="8">
        <v>2.7</v>
      </c>
      <c r="G31" s="12">
        <v>2</v>
      </c>
      <c r="H31" s="8">
        <v>5.26</v>
      </c>
      <c r="I31" s="12">
        <v>0</v>
      </c>
    </row>
    <row r="32" spans="2:9" ht="15" customHeight="1" x14ac:dyDescent="0.2">
      <c r="B32" t="s">
        <v>80</v>
      </c>
      <c r="C32" s="12">
        <v>4</v>
      </c>
      <c r="D32" s="8">
        <v>3.48</v>
      </c>
      <c r="E32" s="12">
        <v>4</v>
      </c>
      <c r="F32" s="8">
        <v>5.41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93</v>
      </c>
      <c r="C33" s="12">
        <v>4</v>
      </c>
      <c r="D33" s="8">
        <v>3.48</v>
      </c>
      <c r="E33" s="12">
        <v>2</v>
      </c>
      <c r="F33" s="8">
        <v>2.7</v>
      </c>
      <c r="G33" s="12">
        <v>2</v>
      </c>
      <c r="H33" s="8">
        <v>5.26</v>
      </c>
      <c r="I33" s="12">
        <v>0</v>
      </c>
    </row>
    <row r="34" spans="2:9" ht="15" customHeight="1" x14ac:dyDescent="0.2">
      <c r="B34" t="s">
        <v>82</v>
      </c>
      <c r="C34" s="12">
        <v>3</v>
      </c>
      <c r="D34" s="8">
        <v>2.61</v>
      </c>
      <c r="E34" s="12">
        <v>2</v>
      </c>
      <c r="F34" s="8">
        <v>2.7</v>
      </c>
      <c r="G34" s="12">
        <v>1</v>
      </c>
      <c r="H34" s="8">
        <v>2.63</v>
      </c>
      <c r="I34" s="12">
        <v>0</v>
      </c>
    </row>
    <row r="35" spans="2:9" ht="15" customHeight="1" x14ac:dyDescent="0.2">
      <c r="B35" t="s">
        <v>97</v>
      </c>
      <c r="C35" s="12">
        <v>3</v>
      </c>
      <c r="D35" s="8">
        <v>2.61</v>
      </c>
      <c r="E35" s="12">
        <v>1</v>
      </c>
      <c r="F35" s="8">
        <v>1.35</v>
      </c>
      <c r="G35" s="12">
        <v>2</v>
      </c>
      <c r="H35" s="8">
        <v>5.26</v>
      </c>
      <c r="I35" s="12">
        <v>0</v>
      </c>
    </row>
    <row r="36" spans="2:9" ht="15" customHeight="1" x14ac:dyDescent="0.2">
      <c r="B36" t="s">
        <v>77</v>
      </c>
      <c r="C36" s="12">
        <v>2</v>
      </c>
      <c r="D36" s="8">
        <v>1.74</v>
      </c>
      <c r="E36" s="12">
        <v>1</v>
      </c>
      <c r="F36" s="8">
        <v>1.35</v>
      </c>
      <c r="G36" s="12">
        <v>1</v>
      </c>
      <c r="H36" s="8">
        <v>2.63</v>
      </c>
      <c r="I36" s="12">
        <v>0</v>
      </c>
    </row>
    <row r="37" spans="2:9" ht="15" customHeight="1" x14ac:dyDescent="0.2">
      <c r="B37" t="s">
        <v>108</v>
      </c>
      <c r="C37" s="12">
        <v>2</v>
      </c>
      <c r="D37" s="8">
        <v>1.74</v>
      </c>
      <c r="E37" s="12">
        <v>0</v>
      </c>
      <c r="F37" s="8">
        <v>0</v>
      </c>
      <c r="G37" s="12">
        <v>2</v>
      </c>
      <c r="H37" s="8">
        <v>5.26</v>
      </c>
      <c r="I37" s="12">
        <v>0</v>
      </c>
    </row>
    <row r="38" spans="2:9" ht="15" customHeight="1" x14ac:dyDescent="0.2">
      <c r="B38" t="s">
        <v>101</v>
      </c>
      <c r="C38" s="12">
        <v>2</v>
      </c>
      <c r="D38" s="8">
        <v>1.74</v>
      </c>
      <c r="E38" s="12">
        <v>2</v>
      </c>
      <c r="F38" s="8">
        <v>2.7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1</v>
      </c>
      <c r="D39" s="8">
        <v>0.87</v>
      </c>
      <c r="E39" s="12">
        <v>0</v>
      </c>
      <c r="F39" s="8">
        <v>0</v>
      </c>
      <c r="G39" s="12">
        <v>1</v>
      </c>
      <c r="H39" s="8">
        <v>2.63</v>
      </c>
      <c r="I39" s="12">
        <v>0</v>
      </c>
    </row>
    <row r="40" spans="2:9" ht="15" customHeight="1" x14ac:dyDescent="0.2">
      <c r="B40" t="s">
        <v>110</v>
      </c>
      <c r="C40" s="12">
        <v>1</v>
      </c>
      <c r="D40" s="8">
        <v>0.87</v>
      </c>
      <c r="E40" s="12">
        <v>0</v>
      </c>
      <c r="F40" s="8">
        <v>0</v>
      </c>
      <c r="G40" s="12">
        <v>1</v>
      </c>
      <c r="H40" s="8">
        <v>2.63</v>
      </c>
      <c r="I40" s="12">
        <v>0</v>
      </c>
    </row>
    <row r="41" spans="2:9" ht="15" customHeight="1" x14ac:dyDescent="0.2">
      <c r="B41" t="s">
        <v>130</v>
      </c>
      <c r="C41" s="12">
        <v>1</v>
      </c>
      <c r="D41" s="8">
        <v>0.87</v>
      </c>
      <c r="E41" s="12">
        <v>0</v>
      </c>
      <c r="F41" s="8">
        <v>0</v>
      </c>
      <c r="G41" s="12">
        <v>1</v>
      </c>
      <c r="H41" s="8">
        <v>2.63</v>
      </c>
      <c r="I41" s="12">
        <v>0</v>
      </c>
    </row>
    <row r="42" spans="2:9" ht="15" customHeight="1" x14ac:dyDescent="0.2">
      <c r="B42" t="s">
        <v>112</v>
      </c>
      <c r="C42" s="12">
        <v>1</v>
      </c>
      <c r="D42" s="8">
        <v>0.87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113</v>
      </c>
      <c r="C43" s="12">
        <v>1</v>
      </c>
      <c r="D43" s="8">
        <v>0.87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131</v>
      </c>
      <c r="C44" s="12">
        <v>1</v>
      </c>
      <c r="D44" s="8">
        <v>0.87</v>
      </c>
      <c r="E44" s="12">
        <v>0</v>
      </c>
      <c r="F44" s="8">
        <v>0</v>
      </c>
      <c r="G44" s="12">
        <v>1</v>
      </c>
      <c r="H44" s="8">
        <v>2.63</v>
      </c>
      <c r="I44" s="12">
        <v>0</v>
      </c>
    </row>
    <row r="45" spans="2:9" ht="15" customHeight="1" x14ac:dyDescent="0.2">
      <c r="B45" t="s">
        <v>127</v>
      </c>
      <c r="C45" s="12">
        <v>1</v>
      </c>
      <c r="D45" s="8">
        <v>0.87</v>
      </c>
      <c r="E45" s="12">
        <v>0</v>
      </c>
      <c r="F45" s="8">
        <v>0</v>
      </c>
      <c r="G45" s="12">
        <v>1</v>
      </c>
      <c r="H45" s="8">
        <v>2.63</v>
      </c>
      <c r="I45" s="12">
        <v>0</v>
      </c>
    </row>
    <row r="46" spans="2:9" ht="15" customHeight="1" x14ac:dyDescent="0.2">
      <c r="B46" t="s">
        <v>99</v>
      </c>
      <c r="C46" s="12">
        <v>1</v>
      </c>
      <c r="D46" s="8">
        <v>0.87</v>
      </c>
      <c r="E46" s="12">
        <v>1</v>
      </c>
      <c r="F46" s="8">
        <v>1.35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86</v>
      </c>
      <c r="C47" s="12">
        <v>1</v>
      </c>
      <c r="D47" s="8">
        <v>0.87</v>
      </c>
      <c r="E47" s="12">
        <v>1</v>
      </c>
      <c r="F47" s="8">
        <v>1.35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87</v>
      </c>
      <c r="C48" s="12">
        <v>1</v>
      </c>
      <c r="D48" s="8">
        <v>0.87</v>
      </c>
      <c r="E48" s="12">
        <v>1</v>
      </c>
      <c r="F48" s="8">
        <v>1.35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100</v>
      </c>
      <c r="C49" s="12">
        <v>1</v>
      </c>
      <c r="D49" s="8">
        <v>0.87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91</v>
      </c>
      <c r="C50" s="12">
        <v>1</v>
      </c>
      <c r="D50" s="8">
        <v>0.87</v>
      </c>
      <c r="E50" s="12">
        <v>1</v>
      </c>
      <c r="F50" s="8">
        <v>1.35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92</v>
      </c>
      <c r="C51" s="12">
        <v>1</v>
      </c>
      <c r="D51" s="8">
        <v>0.87</v>
      </c>
      <c r="E51" s="12">
        <v>0</v>
      </c>
      <c r="F51" s="8">
        <v>0</v>
      </c>
      <c r="G51" s="12">
        <v>1</v>
      </c>
      <c r="H51" s="8">
        <v>2.63</v>
      </c>
      <c r="I51" s="12">
        <v>0</v>
      </c>
    </row>
    <row r="52" spans="2:9" ht="15" customHeight="1" x14ac:dyDescent="0.2">
      <c r="B52" t="s">
        <v>118</v>
      </c>
      <c r="C52" s="12">
        <v>1</v>
      </c>
      <c r="D52" s="8">
        <v>0.87</v>
      </c>
      <c r="E52" s="12">
        <v>0</v>
      </c>
      <c r="F52" s="8">
        <v>0</v>
      </c>
      <c r="G52" s="12">
        <v>1</v>
      </c>
      <c r="H52" s="8">
        <v>2.63</v>
      </c>
      <c r="I52" s="12">
        <v>0</v>
      </c>
    </row>
    <row r="53" spans="2:9" ht="15" customHeight="1" x14ac:dyDescent="0.2">
      <c r="B53" t="s">
        <v>126</v>
      </c>
      <c r="C53" s="12">
        <v>1</v>
      </c>
      <c r="D53" s="8">
        <v>0.87</v>
      </c>
      <c r="E53" s="12">
        <v>0</v>
      </c>
      <c r="F53" s="8">
        <v>0</v>
      </c>
      <c r="G53" s="12">
        <v>1</v>
      </c>
      <c r="H53" s="8">
        <v>2.63</v>
      </c>
      <c r="I53" s="12">
        <v>0</v>
      </c>
    </row>
    <row r="54" spans="2:9" ht="15" customHeight="1" x14ac:dyDescent="0.2">
      <c r="B54" t="s">
        <v>120</v>
      </c>
      <c r="C54" s="12">
        <v>1</v>
      </c>
      <c r="D54" s="8">
        <v>0.87</v>
      </c>
      <c r="E54" s="12">
        <v>0</v>
      </c>
      <c r="F54" s="8">
        <v>0</v>
      </c>
      <c r="G54" s="12">
        <v>1</v>
      </c>
      <c r="H54" s="8">
        <v>2.63</v>
      </c>
      <c r="I54" s="12">
        <v>0</v>
      </c>
    </row>
    <row r="57" spans="2:9" ht="33" customHeight="1" x14ac:dyDescent="0.2">
      <c r="B57" t="s">
        <v>283</v>
      </c>
      <c r="C57" s="10" t="s">
        <v>67</v>
      </c>
      <c r="D57" s="10" t="s">
        <v>68</v>
      </c>
      <c r="E57" s="10" t="s">
        <v>69</v>
      </c>
      <c r="F57" s="10" t="s">
        <v>70</v>
      </c>
      <c r="G57" s="10" t="s">
        <v>71</v>
      </c>
      <c r="H57" s="10" t="s">
        <v>72</v>
      </c>
      <c r="I57" s="10" t="s">
        <v>73</v>
      </c>
    </row>
    <row r="58" spans="2:9" ht="15" customHeight="1" x14ac:dyDescent="0.2">
      <c r="B58" t="s">
        <v>151</v>
      </c>
      <c r="C58" s="12">
        <v>9</v>
      </c>
      <c r="D58" s="8">
        <v>7.83</v>
      </c>
      <c r="E58" s="12">
        <v>8</v>
      </c>
      <c r="F58" s="8">
        <v>10.81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186</v>
      </c>
      <c r="C59" s="12">
        <v>6</v>
      </c>
      <c r="D59" s="8">
        <v>5.22</v>
      </c>
      <c r="E59" s="12">
        <v>2</v>
      </c>
      <c r="F59" s="8">
        <v>2.7</v>
      </c>
      <c r="G59" s="12">
        <v>4</v>
      </c>
      <c r="H59" s="8">
        <v>10.53</v>
      </c>
      <c r="I59" s="12">
        <v>0</v>
      </c>
    </row>
    <row r="60" spans="2:9" ht="15" customHeight="1" x14ac:dyDescent="0.2">
      <c r="B60" t="s">
        <v>152</v>
      </c>
      <c r="C60" s="12">
        <v>6</v>
      </c>
      <c r="D60" s="8">
        <v>5.22</v>
      </c>
      <c r="E60" s="12">
        <v>6</v>
      </c>
      <c r="F60" s="8">
        <v>8.11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150</v>
      </c>
      <c r="C61" s="12">
        <v>5</v>
      </c>
      <c r="D61" s="8">
        <v>4.3499999999999996</v>
      </c>
      <c r="E61" s="12">
        <v>5</v>
      </c>
      <c r="F61" s="8">
        <v>6.76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136</v>
      </c>
      <c r="C62" s="12">
        <v>4</v>
      </c>
      <c r="D62" s="8">
        <v>3.48</v>
      </c>
      <c r="E62" s="12">
        <v>3</v>
      </c>
      <c r="F62" s="8">
        <v>4.05</v>
      </c>
      <c r="G62" s="12">
        <v>1</v>
      </c>
      <c r="H62" s="8">
        <v>2.63</v>
      </c>
      <c r="I62" s="12">
        <v>0</v>
      </c>
    </row>
    <row r="63" spans="2:9" ht="15" customHeight="1" x14ac:dyDescent="0.2">
      <c r="B63" t="s">
        <v>139</v>
      </c>
      <c r="C63" s="12">
        <v>4</v>
      </c>
      <c r="D63" s="8">
        <v>3.48</v>
      </c>
      <c r="E63" s="12">
        <v>4</v>
      </c>
      <c r="F63" s="8">
        <v>5.41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174</v>
      </c>
      <c r="C64" s="12">
        <v>4</v>
      </c>
      <c r="D64" s="8">
        <v>3.48</v>
      </c>
      <c r="E64" s="12">
        <v>4</v>
      </c>
      <c r="F64" s="8">
        <v>5.41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140</v>
      </c>
      <c r="C65" s="12">
        <v>4</v>
      </c>
      <c r="D65" s="8">
        <v>3.48</v>
      </c>
      <c r="E65" s="12">
        <v>4</v>
      </c>
      <c r="F65" s="8">
        <v>5.41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203</v>
      </c>
      <c r="C66" s="12">
        <v>4</v>
      </c>
      <c r="D66" s="8">
        <v>3.48</v>
      </c>
      <c r="E66" s="12">
        <v>2</v>
      </c>
      <c r="F66" s="8">
        <v>2.7</v>
      </c>
      <c r="G66" s="12">
        <v>2</v>
      </c>
      <c r="H66" s="8">
        <v>5.26</v>
      </c>
      <c r="I66" s="12">
        <v>0</v>
      </c>
    </row>
    <row r="67" spans="2:9" ht="15" customHeight="1" x14ac:dyDescent="0.2">
      <c r="B67" t="s">
        <v>222</v>
      </c>
      <c r="C67" s="12">
        <v>4</v>
      </c>
      <c r="D67" s="8">
        <v>3.48</v>
      </c>
      <c r="E67" s="12">
        <v>4</v>
      </c>
      <c r="F67" s="8">
        <v>5.41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154</v>
      </c>
      <c r="C68" s="12">
        <v>4</v>
      </c>
      <c r="D68" s="8">
        <v>3.48</v>
      </c>
      <c r="E68" s="12">
        <v>2</v>
      </c>
      <c r="F68" s="8">
        <v>2.7</v>
      </c>
      <c r="G68" s="12">
        <v>2</v>
      </c>
      <c r="H68" s="8">
        <v>5.26</v>
      </c>
      <c r="I68" s="12">
        <v>0</v>
      </c>
    </row>
    <row r="69" spans="2:9" ht="15" customHeight="1" x14ac:dyDescent="0.2">
      <c r="B69" t="s">
        <v>135</v>
      </c>
      <c r="C69" s="12">
        <v>3</v>
      </c>
      <c r="D69" s="8">
        <v>2.61</v>
      </c>
      <c r="E69" s="12">
        <v>0</v>
      </c>
      <c r="F69" s="8">
        <v>0</v>
      </c>
      <c r="G69" s="12">
        <v>3</v>
      </c>
      <c r="H69" s="8">
        <v>7.89</v>
      </c>
      <c r="I69" s="12">
        <v>0</v>
      </c>
    </row>
    <row r="70" spans="2:9" ht="15" customHeight="1" x14ac:dyDescent="0.2">
      <c r="B70" t="s">
        <v>160</v>
      </c>
      <c r="C70" s="12">
        <v>3</v>
      </c>
      <c r="D70" s="8">
        <v>2.61</v>
      </c>
      <c r="E70" s="12">
        <v>2</v>
      </c>
      <c r="F70" s="8">
        <v>2.7</v>
      </c>
      <c r="G70" s="12">
        <v>1</v>
      </c>
      <c r="H70" s="8">
        <v>2.63</v>
      </c>
      <c r="I70" s="12">
        <v>0</v>
      </c>
    </row>
    <row r="71" spans="2:9" ht="15" customHeight="1" x14ac:dyDescent="0.2">
      <c r="B71" t="s">
        <v>137</v>
      </c>
      <c r="C71" s="12">
        <v>2</v>
      </c>
      <c r="D71" s="8">
        <v>1.74</v>
      </c>
      <c r="E71" s="12">
        <v>2</v>
      </c>
      <c r="F71" s="8">
        <v>2.7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259</v>
      </c>
      <c r="C72" s="12">
        <v>2</v>
      </c>
      <c r="D72" s="8">
        <v>1.74</v>
      </c>
      <c r="E72" s="12">
        <v>1</v>
      </c>
      <c r="F72" s="8">
        <v>1.35</v>
      </c>
      <c r="G72" s="12">
        <v>1</v>
      </c>
      <c r="H72" s="8">
        <v>2.63</v>
      </c>
      <c r="I72" s="12">
        <v>0</v>
      </c>
    </row>
    <row r="73" spans="2:9" ht="15" customHeight="1" x14ac:dyDescent="0.2">
      <c r="B73" t="s">
        <v>190</v>
      </c>
      <c r="C73" s="12">
        <v>2</v>
      </c>
      <c r="D73" s="8">
        <v>1.74</v>
      </c>
      <c r="E73" s="12">
        <v>1</v>
      </c>
      <c r="F73" s="8">
        <v>1.35</v>
      </c>
      <c r="G73" s="12">
        <v>1</v>
      </c>
      <c r="H73" s="8">
        <v>2.63</v>
      </c>
      <c r="I73" s="12">
        <v>0</v>
      </c>
    </row>
    <row r="74" spans="2:9" ht="15" customHeight="1" x14ac:dyDescent="0.2">
      <c r="B74" t="s">
        <v>260</v>
      </c>
      <c r="C74" s="12">
        <v>2</v>
      </c>
      <c r="D74" s="8">
        <v>1.74</v>
      </c>
      <c r="E74" s="12">
        <v>1</v>
      </c>
      <c r="F74" s="8">
        <v>1.35</v>
      </c>
      <c r="G74" s="12">
        <v>1</v>
      </c>
      <c r="H74" s="8">
        <v>2.63</v>
      </c>
      <c r="I74" s="12">
        <v>0</v>
      </c>
    </row>
    <row r="75" spans="2:9" ht="15" customHeight="1" x14ac:dyDescent="0.2">
      <c r="B75" t="s">
        <v>256</v>
      </c>
      <c r="C75" s="12">
        <v>2</v>
      </c>
      <c r="D75" s="8">
        <v>1.74</v>
      </c>
      <c r="E75" s="12">
        <v>0</v>
      </c>
      <c r="F75" s="8">
        <v>0</v>
      </c>
      <c r="G75" s="12">
        <v>2</v>
      </c>
      <c r="H75" s="8">
        <v>5.26</v>
      </c>
      <c r="I75" s="12">
        <v>0</v>
      </c>
    </row>
    <row r="76" spans="2:9" ht="15" customHeight="1" x14ac:dyDescent="0.2">
      <c r="B76" t="s">
        <v>166</v>
      </c>
      <c r="C76" s="12">
        <v>2</v>
      </c>
      <c r="D76" s="8">
        <v>1.74</v>
      </c>
      <c r="E76" s="12">
        <v>2</v>
      </c>
      <c r="F76" s="8">
        <v>2.7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167</v>
      </c>
      <c r="C77" s="12">
        <v>2</v>
      </c>
      <c r="D77" s="8">
        <v>1.74</v>
      </c>
      <c r="E77" s="12">
        <v>1</v>
      </c>
      <c r="F77" s="8">
        <v>1.35</v>
      </c>
      <c r="G77" s="12">
        <v>1</v>
      </c>
      <c r="H77" s="8">
        <v>2.63</v>
      </c>
      <c r="I77" s="12">
        <v>0</v>
      </c>
    </row>
    <row r="78" spans="2:9" ht="15" customHeight="1" x14ac:dyDescent="0.2">
      <c r="B78" t="s">
        <v>168</v>
      </c>
      <c r="C78" s="12">
        <v>2</v>
      </c>
      <c r="D78" s="8">
        <v>1.74</v>
      </c>
      <c r="E78" s="12">
        <v>0</v>
      </c>
      <c r="F78" s="8">
        <v>0</v>
      </c>
      <c r="G78" s="12">
        <v>2</v>
      </c>
      <c r="H78" s="8">
        <v>5.26</v>
      </c>
      <c r="I78" s="12">
        <v>0</v>
      </c>
    </row>
    <row r="79" spans="2:9" ht="15" customHeight="1" x14ac:dyDescent="0.2">
      <c r="B79" t="s">
        <v>143</v>
      </c>
      <c r="C79" s="12">
        <v>2</v>
      </c>
      <c r="D79" s="8">
        <v>1.74</v>
      </c>
      <c r="E79" s="12">
        <v>1</v>
      </c>
      <c r="F79" s="8">
        <v>1.35</v>
      </c>
      <c r="G79" s="12">
        <v>1</v>
      </c>
      <c r="H79" s="8">
        <v>2.63</v>
      </c>
      <c r="I79" s="12">
        <v>0</v>
      </c>
    </row>
    <row r="80" spans="2:9" ht="15" customHeight="1" x14ac:dyDescent="0.2">
      <c r="B80" t="s">
        <v>148</v>
      </c>
      <c r="C80" s="12">
        <v>2</v>
      </c>
      <c r="D80" s="8">
        <v>1.74</v>
      </c>
      <c r="E80" s="12">
        <v>2</v>
      </c>
      <c r="F80" s="8">
        <v>2.7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149</v>
      </c>
      <c r="C81" s="12">
        <v>2</v>
      </c>
      <c r="D81" s="8">
        <v>1.74</v>
      </c>
      <c r="E81" s="12">
        <v>2</v>
      </c>
      <c r="F81" s="8">
        <v>2.7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159</v>
      </c>
      <c r="C82" s="12">
        <v>2</v>
      </c>
      <c r="D82" s="8">
        <v>1.74</v>
      </c>
      <c r="E82" s="12">
        <v>1</v>
      </c>
      <c r="F82" s="8">
        <v>1.35</v>
      </c>
      <c r="G82" s="12">
        <v>1</v>
      </c>
      <c r="H82" s="8">
        <v>2.63</v>
      </c>
      <c r="I82" s="12">
        <v>0</v>
      </c>
    </row>
    <row r="83" spans="2:9" ht="15" customHeight="1" x14ac:dyDescent="0.2">
      <c r="B83" t="s">
        <v>187</v>
      </c>
      <c r="C83" s="12">
        <v>2</v>
      </c>
      <c r="D83" s="8">
        <v>1.74</v>
      </c>
      <c r="E83" s="12">
        <v>2</v>
      </c>
      <c r="F83" s="8">
        <v>2.7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255</v>
      </c>
      <c r="C84" s="12">
        <v>2</v>
      </c>
      <c r="D84" s="8">
        <v>1.74</v>
      </c>
      <c r="E84" s="12">
        <v>0</v>
      </c>
      <c r="F84" s="8">
        <v>0</v>
      </c>
      <c r="G84" s="12">
        <v>2</v>
      </c>
      <c r="H84" s="8">
        <v>5.26</v>
      </c>
      <c r="I84" s="12">
        <v>0</v>
      </c>
    </row>
    <row r="86" spans="2:9" ht="15" customHeight="1" x14ac:dyDescent="0.2">
      <c r="B86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1B9D-2CF0-4B76-9AF0-3A67FE1A0EC7}">
  <sheetPr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6</v>
      </c>
      <c r="D6" s="8">
        <v>9.68</v>
      </c>
      <c r="E6" s="12">
        <v>4</v>
      </c>
      <c r="F6" s="8">
        <v>8.51</v>
      </c>
      <c r="G6" s="12">
        <v>2</v>
      </c>
      <c r="H6" s="8">
        <v>15.38</v>
      </c>
      <c r="I6" s="12">
        <v>0</v>
      </c>
    </row>
    <row r="7" spans="2:9" ht="15" customHeight="1" x14ac:dyDescent="0.2">
      <c r="B7" t="s">
        <v>53</v>
      </c>
      <c r="C7" s="12">
        <v>6</v>
      </c>
      <c r="D7" s="8">
        <v>9.68</v>
      </c>
      <c r="E7" s="12">
        <v>3</v>
      </c>
      <c r="F7" s="8">
        <v>6.38</v>
      </c>
      <c r="G7" s="12">
        <v>3</v>
      </c>
      <c r="H7" s="8">
        <v>23.08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1.61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1.61</v>
      </c>
      <c r="E9" s="12">
        <v>1</v>
      </c>
      <c r="F9" s="8">
        <v>2.13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15</v>
      </c>
      <c r="D11" s="8">
        <v>24.19</v>
      </c>
      <c r="E11" s="12">
        <v>12</v>
      </c>
      <c r="F11" s="8">
        <v>25.53</v>
      </c>
      <c r="G11" s="12">
        <v>3</v>
      </c>
      <c r="H11" s="8">
        <v>23.08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</v>
      </c>
      <c r="D13" s="8">
        <v>1.61</v>
      </c>
      <c r="E13" s="12">
        <v>0</v>
      </c>
      <c r="F13" s="8">
        <v>0</v>
      </c>
      <c r="G13" s="12">
        <v>1</v>
      </c>
      <c r="H13" s="8">
        <v>7.69</v>
      </c>
      <c r="I13" s="12">
        <v>0</v>
      </c>
    </row>
    <row r="14" spans="2:9" ht="15" customHeight="1" x14ac:dyDescent="0.2">
      <c r="B14" t="s">
        <v>60</v>
      </c>
      <c r="C14" s="12">
        <v>1</v>
      </c>
      <c r="D14" s="8">
        <v>1.61</v>
      </c>
      <c r="E14" s="12">
        <v>0</v>
      </c>
      <c r="F14" s="8">
        <v>0</v>
      </c>
      <c r="G14" s="12">
        <v>1</v>
      </c>
      <c r="H14" s="8">
        <v>7.69</v>
      </c>
      <c r="I14" s="12">
        <v>0</v>
      </c>
    </row>
    <row r="15" spans="2:9" ht="15" customHeight="1" x14ac:dyDescent="0.2">
      <c r="B15" t="s">
        <v>61</v>
      </c>
      <c r="C15" s="12">
        <v>16</v>
      </c>
      <c r="D15" s="8">
        <v>25.81</v>
      </c>
      <c r="E15" s="12">
        <v>15</v>
      </c>
      <c r="F15" s="8">
        <v>31.91</v>
      </c>
      <c r="G15" s="12">
        <v>1</v>
      </c>
      <c r="H15" s="8">
        <v>7.69</v>
      </c>
      <c r="I15" s="12">
        <v>0</v>
      </c>
    </row>
    <row r="16" spans="2:9" ht="15" customHeight="1" x14ac:dyDescent="0.2">
      <c r="B16" t="s">
        <v>62</v>
      </c>
      <c r="C16" s="12">
        <v>9</v>
      </c>
      <c r="D16" s="8">
        <v>14.52</v>
      </c>
      <c r="E16" s="12">
        <v>7</v>
      </c>
      <c r="F16" s="8">
        <v>14.89</v>
      </c>
      <c r="G16" s="12">
        <v>1</v>
      </c>
      <c r="H16" s="8">
        <v>7.69</v>
      </c>
      <c r="I16" s="12">
        <v>0</v>
      </c>
    </row>
    <row r="17" spans="2:9" ht="15" customHeight="1" x14ac:dyDescent="0.2">
      <c r="B17" t="s">
        <v>63</v>
      </c>
      <c r="C17" s="12">
        <v>2</v>
      </c>
      <c r="D17" s="8">
        <v>3.23</v>
      </c>
      <c r="E17" s="12">
        <v>2</v>
      </c>
      <c r="F17" s="8">
        <v>4.26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3</v>
      </c>
      <c r="D18" s="8">
        <v>4.84</v>
      </c>
      <c r="E18" s="12">
        <v>3</v>
      </c>
      <c r="F18" s="8">
        <v>6.38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1</v>
      </c>
      <c r="D19" s="8">
        <v>1.61</v>
      </c>
      <c r="E19" s="12">
        <v>0</v>
      </c>
      <c r="F19" s="8">
        <v>0</v>
      </c>
      <c r="G19" s="12">
        <v>1</v>
      </c>
      <c r="H19" s="8">
        <v>7.69</v>
      </c>
      <c r="I19" s="12">
        <v>0</v>
      </c>
    </row>
    <row r="20" spans="2:9" ht="15" customHeight="1" x14ac:dyDescent="0.2">
      <c r="B20" s="9" t="s">
        <v>281</v>
      </c>
      <c r="C20" s="12">
        <f>SUM(LTBL_43507[総数／事業所数])</f>
        <v>62</v>
      </c>
      <c r="E20" s="12">
        <f>SUBTOTAL(109,LTBL_43507[個人／事業所数])</f>
        <v>47</v>
      </c>
      <c r="G20" s="12">
        <f>SUBTOTAL(109,LTBL_43507[法人／事業所数])</f>
        <v>13</v>
      </c>
      <c r="I20" s="12">
        <f>SUBTOTAL(109,LTBL_43507[法人以外の団体／事業所数])</f>
        <v>0</v>
      </c>
    </row>
    <row r="21" spans="2:9" ht="15" customHeight="1" x14ac:dyDescent="0.2">
      <c r="E21" s="11">
        <f>LTBL_43507[[#Totals],[個人／事業所数]]/LTBL_43507[[#Totals],[総数／事業所数]]</f>
        <v>0.75806451612903225</v>
      </c>
      <c r="G21" s="11">
        <f>LTBL_43507[[#Totals],[法人／事業所数]]/LTBL_43507[[#Totals],[総数／事業所数]]</f>
        <v>0.20967741935483872</v>
      </c>
      <c r="I21" s="11">
        <f>LTBL_43507[[#Totals],[法人以外の団体／事業所数]]/LTBL_43507[[#Totals],[総数／事業所数]]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106</v>
      </c>
      <c r="C24" s="12">
        <v>11</v>
      </c>
      <c r="D24" s="8">
        <v>17.739999999999998</v>
      </c>
      <c r="E24" s="12">
        <v>10</v>
      </c>
      <c r="F24" s="8">
        <v>21.28</v>
      </c>
      <c r="G24" s="12">
        <v>1</v>
      </c>
      <c r="H24" s="8">
        <v>7.69</v>
      </c>
      <c r="I24" s="12">
        <v>0</v>
      </c>
    </row>
    <row r="25" spans="2:9" ht="15" customHeight="1" x14ac:dyDescent="0.2">
      <c r="B25" t="s">
        <v>81</v>
      </c>
      <c r="C25" s="12">
        <v>8</v>
      </c>
      <c r="D25" s="8">
        <v>12.9</v>
      </c>
      <c r="E25" s="12">
        <v>7</v>
      </c>
      <c r="F25" s="8">
        <v>14.89</v>
      </c>
      <c r="G25" s="12">
        <v>1</v>
      </c>
      <c r="H25" s="8">
        <v>7.69</v>
      </c>
      <c r="I25" s="12">
        <v>0</v>
      </c>
    </row>
    <row r="26" spans="2:9" ht="15" customHeight="1" x14ac:dyDescent="0.2">
      <c r="B26" t="s">
        <v>89</v>
      </c>
      <c r="C26" s="12">
        <v>6</v>
      </c>
      <c r="D26" s="8">
        <v>9.68</v>
      </c>
      <c r="E26" s="12">
        <v>6</v>
      </c>
      <c r="F26" s="8">
        <v>12.77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88</v>
      </c>
      <c r="C27" s="12">
        <v>5</v>
      </c>
      <c r="D27" s="8">
        <v>8.06</v>
      </c>
      <c r="E27" s="12">
        <v>5</v>
      </c>
      <c r="F27" s="8">
        <v>10.64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83</v>
      </c>
      <c r="C28" s="12">
        <v>4</v>
      </c>
      <c r="D28" s="8">
        <v>6.45</v>
      </c>
      <c r="E28" s="12">
        <v>2</v>
      </c>
      <c r="F28" s="8">
        <v>4.26</v>
      </c>
      <c r="G28" s="12">
        <v>2</v>
      </c>
      <c r="H28" s="8">
        <v>15.38</v>
      </c>
      <c r="I28" s="12">
        <v>0</v>
      </c>
    </row>
    <row r="29" spans="2:9" ht="15" customHeight="1" x14ac:dyDescent="0.2">
      <c r="B29" t="s">
        <v>75</v>
      </c>
      <c r="C29" s="12">
        <v>3</v>
      </c>
      <c r="D29" s="8">
        <v>4.84</v>
      </c>
      <c r="E29" s="12">
        <v>2</v>
      </c>
      <c r="F29" s="8">
        <v>4.26</v>
      </c>
      <c r="G29" s="12">
        <v>1</v>
      </c>
      <c r="H29" s="8">
        <v>7.69</v>
      </c>
      <c r="I29" s="12">
        <v>0</v>
      </c>
    </row>
    <row r="30" spans="2:9" ht="15" customHeight="1" x14ac:dyDescent="0.2">
      <c r="B30" t="s">
        <v>91</v>
      </c>
      <c r="C30" s="12">
        <v>3</v>
      </c>
      <c r="D30" s="8">
        <v>4.84</v>
      </c>
      <c r="E30" s="12">
        <v>3</v>
      </c>
      <c r="F30" s="8">
        <v>6.38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74</v>
      </c>
      <c r="C31" s="12">
        <v>2</v>
      </c>
      <c r="D31" s="8">
        <v>3.23</v>
      </c>
      <c r="E31" s="12">
        <v>1</v>
      </c>
      <c r="F31" s="8">
        <v>2.13</v>
      </c>
      <c r="G31" s="12">
        <v>1</v>
      </c>
      <c r="H31" s="8">
        <v>7.69</v>
      </c>
      <c r="I31" s="12">
        <v>0</v>
      </c>
    </row>
    <row r="32" spans="2:9" ht="15" customHeight="1" x14ac:dyDescent="0.2">
      <c r="B32" t="s">
        <v>108</v>
      </c>
      <c r="C32" s="12">
        <v>2</v>
      </c>
      <c r="D32" s="8">
        <v>3.23</v>
      </c>
      <c r="E32" s="12">
        <v>1</v>
      </c>
      <c r="F32" s="8">
        <v>2.13</v>
      </c>
      <c r="G32" s="12">
        <v>1</v>
      </c>
      <c r="H32" s="8">
        <v>7.69</v>
      </c>
      <c r="I32" s="12">
        <v>0</v>
      </c>
    </row>
    <row r="33" spans="2:9" ht="15" customHeight="1" x14ac:dyDescent="0.2">
      <c r="B33" t="s">
        <v>109</v>
      </c>
      <c r="C33" s="12">
        <v>2</v>
      </c>
      <c r="D33" s="8">
        <v>3.23</v>
      </c>
      <c r="E33" s="12">
        <v>1</v>
      </c>
      <c r="F33" s="8">
        <v>2.13</v>
      </c>
      <c r="G33" s="12">
        <v>1</v>
      </c>
      <c r="H33" s="8">
        <v>7.69</v>
      </c>
      <c r="I33" s="12">
        <v>0</v>
      </c>
    </row>
    <row r="34" spans="2:9" ht="15" customHeight="1" x14ac:dyDescent="0.2">
      <c r="B34" t="s">
        <v>100</v>
      </c>
      <c r="C34" s="12">
        <v>2</v>
      </c>
      <c r="D34" s="8">
        <v>3.23</v>
      </c>
      <c r="E34" s="12">
        <v>1</v>
      </c>
      <c r="F34" s="8">
        <v>2.13</v>
      </c>
      <c r="G34" s="12">
        <v>1</v>
      </c>
      <c r="H34" s="8">
        <v>7.69</v>
      </c>
      <c r="I34" s="12">
        <v>0</v>
      </c>
    </row>
    <row r="35" spans="2:9" ht="15" customHeight="1" x14ac:dyDescent="0.2">
      <c r="B35" t="s">
        <v>90</v>
      </c>
      <c r="C35" s="12">
        <v>2</v>
      </c>
      <c r="D35" s="8">
        <v>3.23</v>
      </c>
      <c r="E35" s="12">
        <v>2</v>
      </c>
      <c r="F35" s="8">
        <v>4.26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76</v>
      </c>
      <c r="C36" s="12">
        <v>1</v>
      </c>
      <c r="D36" s="8">
        <v>1.61</v>
      </c>
      <c r="E36" s="12">
        <v>1</v>
      </c>
      <c r="F36" s="8">
        <v>2.13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77</v>
      </c>
      <c r="C37" s="12">
        <v>1</v>
      </c>
      <c r="D37" s="8">
        <v>1.61</v>
      </c>
      <c r="E37" s="12">
        <v>0</v>
      </c>
      <c r="F37" s="8">
        <v>0</v>
      </c>
      <c r="G37" s="12">
        <v>1</v>
      </c>
      <c r="H37" s="8">
        <v>7.69</v>
      </c>
      <c r="I37" s="12">
        <v>0</v>
      </c>
    </row>
    <row r="38" spans="2:9" ht="15" customHeight="1" x14ac:dyDescent="0.2">
      <c r="B38" t="s">
        <v>125</v>
      </c>
      <c r="C38" s="12">
        <v>1</v>
      </c>
      <c r="D38" s="8">
        <v>1.61</v>
      </c>
      <c r="E38" s="12">
        <v>1</v>
      </c>
      <c r="F38" s="8">
        <v>2.13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113</v>
      </c>
      <c r="C39" s="12">
        <v>1</v>
      </c>
      <c r="D39" s="8">
        <v>1.61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116</v>
      </c>
      <c r="C40" s="12">
        <v>1</v>
      </c>
      <c r="D40" s="8">
        <v>1.61</v>
      </c>
      <c r="E40" s="12">
        <v>1</v>
      </c>
      <c r="F40" s="8">
        <v>2.13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78</v>
      </c>
      <c r="C41" s="12">
        <v>1</v>
      </c>
      <c r="D41" s="8">
        <v>1.61</v>
      </c>
      <c r="E41" s="12">
        <v>1</v>
      </c>
      <c r="F41" s="8">
        <v>2.13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80</v>
      </c>
      <c r="C42" s="12">
        <v>1</v>
      </c>
      <c r="D42" s="8">
        <v>1.61</v>
      </c>
      <c r="E42" s="12">
        <v>1</v>
      </c>
      <c r="F42" s="8">
        <v>2.13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82</v>
      </c>
      <c r="C43" s="12">
        <v>1</v>
      </c>
      <c r="D43" s="8">
        <v>1.61</v>
      </c>
      <c r="E43" s="12">
        <v>1</v>
      </c>
      <c r="F43" s="8">
        <v>2.13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117</v>
      </c>
      <c r="C44" s="12">
        <v>1</v>
      </c>
      <c r="D44" s="8">
        <v>1.61</v>
      </c>
      <c r="E44" s="12">
        <v>0</v>
      </c>
      <c r="F44" s="8">
        <v>0</v>
      </c>
      <c r="G44" s="12">
        <v>1</v>
      </c>
      <c r="H44" s="8">
        <v>7.69</v>
      </c>
      <c r="I44" s="12">
        <v>0</v>
      </c>
    </row>
    <row r="45" spans="2:9" ht="15" customHeight="1" x14ac:dyDescent="0.2">
      <c r="B45" t="s">
        <v>132</v>
      </c>
      <c r="C45" s="12">
        <v>1</v>
      </c>
      <c r="D45" s="8">
        <v>1.61</v>
      </c>
      <c r="E45" s="12">
        <v>0</v>
      </c>
      <c r="F45" s="8">
        <v>0</v>
      </c>
      <c r="G45" s="12">
        <v>1</v>
      </c>
      <c r="H45" s="8">
        <v>7.69</v>
      </c>
      <c r="I45" s="12">
        <v>0</v>
      </c>
    </row>
    <row r="46" spans="2:9" ht="15" customHeight="1" x14ac:dyDescent="0.2">
      <c r="B46" t="s">
        <v>97</v>
      </c>
      <c r="C46" s="12">
        <v>1</v>
      </c>
      <c r="D46" s="8">
        <v>1.61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118</v>
      </c>
      <c r="C47" s="12">
        <v>1</v>
      </c>
      <c r="D47" s="8">
        <v>1.61</v>
      </c>
      <c r="E47" s="12">
        <v>0</v>
      </c>
      <c r="F47" s="8">
        <v>0</v>
      </c>
      <c r="G47" s="12">
        <v>1</v>
      </c>
      <c r="H47" s="8">
        <v>7.69</v>
      </c>
      <c r="I47" s="12">
        <v>0</v>
      </c>
    </row>
    <row r="50" spans="2:9" ht="33" customHeight="1" x14ac:dyDescent="0.2">
      <c r="B50" t="s">
        <v>283</v>
      </c>
      <c r="C50" s="10" t="s">
        <v>67</v>
      </c>
      <c r="D50" s="10" t="s">
        <v>68</v>
      </c>
      <c r="E50" s="10" t="s">
        <v>69</v>
      </c>
      <c r="F50" s="10" t="s">
        <v>70</v>
      </c>
      <c r="G50" s="10" t="s">
        <v>71</v>
      </c>
      <c r="H50" s="10" t="s">
        <v>72</v>
      </c>
      <c r="I50" s="10" t="s">
        <v>73</v>
      </c>
    </row>
    <row r="51" spans="2:9" ht="15" customHeight="1" x14ac:dyDescent="0.2">
      <c r="B51" t="s">
        <v>181</v>
      </c>
      <c r="C51" s="12">
        <v>11</v>
      </c>
      <c r="D51" s="8">
        <v>17.739999999999998</v>
      </c>
      <c r="E51" s="12">
        <v>10</v>
      </c>
      <c r="F51" s="8">
        <v>21.28</v>
      </c>
      <c r="G51" s="12">
        <v>1</v>
      </c>
      <c r="H51" s="8">
        <v>7.69</v>
      </c>
      <c r="I51" s="12">
        <v>0</v>
      </c>
    </row>
    <row r="52" spans="2:9" ht="15" customHeight="1" x14ac:dyDescent="0.2">
      <c r="B52" t="s">
        <v>151</v>
      </c>
      <c r="C52" s="12">
        <v>4</v>
      </c>
      <c r="D52" s="8">
        <v>6.45</v>
      </c>
      <c r="E52" s="12">
        <v>4</v>
      </c>
      <c r="F52" s="8">
        <v>8.51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140</v>
      </c>
      <c r="C53" s="12">
        <v>3</v>
      </c>
      <c r="D53" s="8">
        <v>4.84</v>
      </c>
      <c r="E53" s="12">
        <v>2</v>
      </c>
      <c r="F53" s="8">
        <v>4.26</v>
      </c>
      <c r="G53" s="12">
        <v>1</v>
      </c>
      <c r="H53" s="8">
        <v>7.69</v>
      </c>
      <c r="I53" s="12">
        <v>0</v>
      </c>
    </row>
    <row r="54" spans="2:9" ht="15" customHeight="1" x14ac:dyDescent="0.2">
      <c r="B54" t="s">
        <v>201</v>
      </c>
      <c r="C54" s="12">
        <v>2</v>
      </c>
      <c r="D54" s="8">
        <v>3.23</v>
      </c>
      <c r="E54" s="12">
        <v>2</v>
      </c>
      <c r="F54" s="8">
        <v>4.26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174</v>
      </c>
      <c r="C55" s="12">
        <v>2</v>
      </c>
      <c r="D55" s="8">
        <v>3.23</v>
      </c>
      <c r="E55" s="12">
        <v>2</v>
      </c>
      <c r="F55" s="8">
        <v>4.26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170</v>
      </c>
      <c r="C56" s="12">
        <v>2</v>
      </c>
      <c r="D56" s="8">
        <v>3.23</v>
      </c>
      <c r="E56" s="12">
        <v>2</v>
      </c>
      <c r="F56" s="8">
        <v>4.26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159</v>
      </c>
      <c r="C57" s="12">
        <v>2</v>
      </c>
      <c r="D57" s="8">
        <v>3.23</v>
      </c>
      <c r="E57" s="12">
        <v>2</v>
      </c>
      <c r="F57" s="8">
        <v>4.26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150</v>
      </c>
      <c r="C58" s="12">
        <v>2</v>
      </c>
      <c r="D58" s="8">
        <v>3.23</v>
      </c>
      <c r="E58" s="12">
        <v>2</v>
      </c>
      <c r="F58" s="8">
        <v>4.26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265</v>
      </c>
      <c r="C59" s="12">
        <v>2</v>
      </c>
      <c r="D59" s="8">
        <v>3.23</v>
      </c>
      <c r="E59" s="12">
        <v>1</v>
      </c>
      <c r="F59" s="8">
        <v>2.13</v>
      </c>
      <c r="G59" s="12">
        <v>1</v>
      </c>
      <c r="H59" s="8">
        <v>7.69</v>
      </c>
      <c r="I59" s="12">
        <v>0</v>
      </c>
    </row>
    <row r="60" spans="2:9" ht="15" customHeight="1" x14ac:dyDescent="0.2">
      <c r="B60" t="s">
        <v>153</v>
      </c>
      <c r="C60" s="12">
        <v>2</v>
      </c>
      <c r="D60" s="8">
        <v>3.23</v>
      </c>
      <c r="E60" s="12">
        <v>2</v>
      </c>
      <c r="F60" s="8">
        <v>4.26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135</v>
      </c>
      <c r="C61" s="12">
        <v>1</v>
      </c>
      <c r="D61" s="8">
        <v>1.61</v>
      </c>
      <c r="E61" s="12">
        <v>1</v>
      </c>
      <c r="F61" s="8">
        <v>2.13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136</v>
      </c>
      <c r="C62" s="12">
        <v>1</v>
      </c>
      <c r="D62" s="8">
        <v>1.61</v>
      </c>
      <c r="E62" s="12">
        <v>0</v>
      </c>
      <c r="F62" s="8">
        <v>0</v>
      </c>
      <c r="G62" s="12">
        <v>1</v>
      </c>
      <c r="H62" s="8">
        <v>7.69</v>
      </c>
      <c r="I62" s="12">
        <v>0</v>
      </c>
    </row>
    <row r="63" spans="2:9" ht="15" customHeight="1" x14ac:dyDescent="0.2">
      <c r="B63" t="s">
        <v>189</v>
      </c>
      <c r="C63" s="12">
        <v>1</v>
      </c>
      <c r="D63" s="8">
        <v>1.61</v>
      </c>
      <c r="E63" s="12">
        <v>0</v>
      </c>
      <c r="F63" s="8">
        <v>0</v>
      </c>
      <c r="G63" s="12">
        <v>1</v>
      </c>
      <c r="H63" s="8">
        <v>7.69</v>
      </c>
      <c r="I63" s="12">
        <v>0</v>
      </c>
    </row>
    <row r="64" spans="2:9" ht="15" customHeight="1" x14ac:dyDescent="0.2">
      <c r="B64" t="s">
        <v>220</v>
      </c>
      <c r="C64" s="12">
        <v>1</v>
      </c>
      <c r="D64" s="8">
        <v>1.61</v>
      </c>
      <c r="E64" s="12">
        <v>1</v>
      </c>
      <c r="F64" s="8">
        <v>2.13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175</v>
      </c>
      <c r="C65" s="12">
        <v>1</v>
      </c>
      <c r="D65" s="8">
        <v>1.61</v>
      </c>
      <c r="E65" s="12">
        <v>1</v>
      </c>
      <c r="F65" s="8">
        <v>2.13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138</v>
      </c>
      <c r="C66" s="12">
        <v>1</v>
      </c>
      <c r="D66" s="8">
        <v>1.61</v>
      </c>
      <c r="E66" s="12">
        <v>1</v>
      </c>
      <c r="F66" s="8">
        <v>2.13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213</v>
      </c>
      <c r="C67" s="12">
        <v>1</v>
      </c>
      <c r="D67" s="8">
        <v>1.61</v>
      </c>
      <c r="E67" s="12">
        <v>0</v>
      </c>
      <c r="F67" s="8">
        <v>0</v>
      </c>
      <c r="G67" s="12">
        <v>1</v>
      </c>
      <c r="H67" s="8">
        <v>7.69</v>
      </c>
      <c r="I67" s="12">
        <v>0</v>
      </c>
    </row>
    <row r="68" spans="2:9" ht="15" customHeight="1" x14ac:dyDescent="0.2">
      <c r="B68" t="s">
        <v>256</v>
      </c>
      <c r="C68" s="12">
        <v>1</v>
      </c>
      <c r="D68" s="8">
        <v>1.61</v>
      </c>
      <c r="E68" s="12">
        <v>0</v>
      </c>
      <c r="F68" s="8">
        <v>0</v>
      </c>
      <c r="G68" s="12">
        <v>1</v>
      </c>
      <c r="H68" s="8">
        <v>7.69</v>
      </c>
      <c r="I68" s="12">
        <v>0</v>
      </c>
    </row>
    <row r="69" spans="2:9" ht="15" customHeight="1" x14ac:dyDescent="0.2">
      <c r="B69" t="s">
        <v>185</v>
      </c>
      <c r="C69" s="12">
        <v>1</v>
      </c>
      <c r="D69" s="8">
        <v>1.61</v>
      </c>
      <c r="E69" s="12">
        <v>1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186</v>
      </c>
      <c r="C70" s="12">
        <v>1</v>
      </c>
      <c r="D70" s="8">
        <v>1.61</v>
      </c>
      <c r="E70" s="12">
        <v>0</v>
      </c>
      <c r="F70" s="8">
        <v>0</v>
      </c>
      <c r="G70" s="12">
        <v>1</v>
      </c>
      <c r="H70" s="8">
        <v>7.69</v>
      </c>
      <c r="I70" s="12">
        <v>0</v>
      </c>
    </row>
    <row r="71" spans="2:9" ht="15" customHeight="1" x14ac:dyDescent="0.2">
      <c r="B71" t="s">
        <v>261</v>
      </c>
      <c r="C71" s="12">
        <v>1</v>
      </c>
      <c r="D71" s="8">
        <v>1.61</v>
      </c>
      <c r="E71" s="12">
        <v>1</v>
      </c>
      <c r="F71" s="8">
        <v>2.13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237</v>
      </c>
      <c r="C72" s="12">
        <v>1</v>
      </c>
      <c r="D72" s="8">
        <v>1.61</v>
      </c>
      <c r="E72" s="12">
        <v>1</v>
      </c>
      <c r="F72" s="8">
        <v>2.13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197</v>
      </c>
      <c r="C73" s="12">
        <v>1</v>
      </c>
      <c r="D73" s="8">
        <v>1.61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198</v>
      </c>
      <c r="C74" s="12">
        <v>1</v>
      </c>
      <c r="D74" s="8">
        <v>1.61</v>
      </c>
      <c r="E74" s="12">
        <v>1</v>
      </c>
      <c r="F74" s="8">
        <v>2.13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164</v>
      </c>
      <c r="C75" s="12">
        <v>1</v>
      </c>
      <c r="D75" s="8">
        <v>1.61</v>
      </c>
      <c r="E75" s="12">
        <v>1</v>
      </c>
      <c r="F75" s="8">
        <v>2.13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139</v>
      </c>
      <c r="C76" s="12">
        <v>1</v>
      </c>
      <c r="D76" s="8">
        <v>1.61</v>
      </c>
      <c r="E76" s="12">
        <v>1</v>
      </c>
      <c r="F76" s="8">
        <v>2.13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166</v>
      </c>
      <c r="C77" s="12">
        <v>1</v>
      </c>
      <c r="D77" s="8">
        <v>1.61</v>
      </c>
      <c r="E77" s="12">
        <v>1</v>
      </c>
      <c r="F77" s="8">
        <v>2.13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141</v>
      </c>
      <c r="C78" s="12">
        <v>1</v>
      </c>
      <c r="D78" s="8">
        <v>1.61</v>
      </c>
      <c r="E78" s="12">
        <v>1</v>
      </c>
      <c r="F78" s="8">
        <v>2.13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142</v>
      </c>
      <c r="C79" s="12">
        <v>1</v>
      </c>
      <c r="D79" s="8">
        <v>1.61</v>
      </c>
      <c r="E79" s="12">
        <v>0</v>
      </c>
      <c r="F79" s="8">
        <v>0</v>
      </c>
      <c r="G79" s="12">
        <v>1</v>
      </c>
      <c r="H79" s="8">
        <v>7.69</v>
      </c>
      <c r="I79" s="12">
        <v>0</v>
      </c>
    </row>
    <row r="80" spans="2:9" ht="15" customHeight="1" x14ac:dyDescent="0.2">
      <c r="B80" t="s">
        <v>204</v>
      </c>
      <c r="C80" s="12">
        <v>1</v>
      </c>
      <c r="D80" s="8">
        <v>1.61</v>
      </c>
      <c r="E80" s="12">
        <v>0</v>
      </c>
      <c r="F80" s="8">
        <v>0</v>
      </c>
      <c r="G80" s="12">
        <v>1</v>
      </c>
      <c r="H80" s="8">
        <v>7.69</v>
      </c>
      <c r="I80" s="12">
        <v>0</v>
      </c>
    </row>
    <row r="81" spans="2:9" ht="15" customHeight="1" x14ac:dyDescent="0.2">
      <c r="B81" t="s">
        <v>168</v>
      </c>
      <c r="C81" s="12">
        <v>1</v>
      </c>
      <c r="D81" s="8">
        <v>1.61</v>
      </c>
      <c r="E81" s="12">
        <v>1</v>
      </c>
      <c r="F81" s="8">
        <v>2.13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143</v>
      </c>
      <c r="C82" s="12">
        <v>1</v>
      </c>
      <c r="D82" s="8">
        <v>1.61</v>
      </c>
      <c r="E82" s="12">
        <v>1</v>
      </c>
      <c r="F82" s="8">
        <v>2.13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262</v>
      </c>
      <c r="C83" s="12">
        <v>1</v>
      </c>
      <c r="D83" s="8">
        <v>1.61</v>
      </c>
      <c r="E83" s="12">
        <v>0</v>
      </c>
      <c r="F83" s="8">
        <v>0</v>
      </c>
      <c r="G83" s="12">
        <v>1</v>
      </c>
      <c r="H83" s="8">
        <v>7.69</v>
      </c>
      <c r="I83" s="12">
        <v>0</v>
      </c>
    </row>
    <row r="84" spans="2:9" ht="15" customHeight="1" x14ac:dyDescent="0.2">
      <c r="B84" t="s">
        <v>263</v>
      </c>
      <c r="C84" s="12">
        <v>1</v>
      </c>
      <c r="D84" s="8">
        <v>1.61</v>
      </c>
      <c r="E84" s="12">
        <v>0</v>
      </c>
      <c r="F84" s="8">
        <v>0</v>
      </c>
      <c r="G84" s="12">
        <v>1</v>
      </c>
      <c r="H84" s="8">
        <v>7.69</v>
      </c>
      <c r="I84" s="12">
        <v>0</v>
      </c>
    </row>
    <row r="85" spans="2:9" ht="15" customHeight="1" x14ac:dyDescent="0.2">
      <c r="B85" t="s">
        <v>148</v>
      </c>
      <c r="C85" s="12">
        <v>1</v>
      </c>
      <c r="D85" s="8">
        <v>1.61</v>
      </c>
      <c r="E85" s="12">
        <v>1</v>
      </c>
      <c r="F85" s="8">
        <v>2.13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264</v>
      </c>
      <c r="C86" s="12">
        <v>1</v>
      </c>
      <c r="D86" s="8">
        <v>1.61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172</v>
      </c>
      <c r="C87" s="12">
        <v>1</v>
      </c>
      <c r="D87" s="8">
        <v>1.61</v>
      </c>
      <c r="E87" s="12">
        <v>1</v>
      </c>
      <c r="F87" s="8">
        <v>2.13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152</v>
      </c>
      <c r="C88" s="12">
        <v>1</v>
      </c>
      <c r="D88" s="8">
        <v>1.61</v>
      </c>
      <c r="E88" s="12">
        <v>1</v>
      </c>
      <c r="F88" s="8">
        <v>2.13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210</v>
      </c>
      <c r="C89" s="12">
        <v>1</v>
      </c>
      <c r="D89" s="8">
        <v>1.61</v>
      </c>
      <c r="E89" s="12">
        <v>1</v>
      </c>
      <c r="F89" s="8">
        <v>2.13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211</v>
      </c>
      <c r="C90" s="12">
        <v>1</v>
      </c>
      <c r="D90" s="8">
        <v>1.61</v>
      </c>
      <c r="E90" s="12">
        <v>0</v>
      </c>
      <c r="F90" s="8">
        <v>0</v>
      </c>
      <c r="G90" s="12">
        <v>1</v>
      </c>
      <c r="H90" s="8">
        <v>7.69</v>
      </c>
      <c r="I90" s="12">
        <v>0</v>
      </c>
    </row>
    <row r="92" spans="2:9" ht="15" customHeight="1" x14ac:dyDescent="0.2">
      <c r="B92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C69C-8B90-401B-98D7-836A77A2D8E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9</v>
      </c>
      <c r="D5" s="8">
        <v>0.02</v>
      </c>
      <c r="E5" s="12">
        <v>2</v>
      </c>
      <c r="F5" s="8">
        <v>0.01</v>
      </c>
      <c r="G5" s="12">
        <v>7</v>
      </c>
      <c r="H5" s="8">
        <v>0.04</v>
      </c>
      <c r="I5" s="12">
        <v>0</v>
      </c>
    </row>
    <row r="6" spans="2:9" ht="15" customHeight="1" x14ac:dyDescent="0.2">
      <c r="B6" t="s">
        <v>52</v>
      </c>
      <c r="C6" s="12">
        <v>5847</v>
      </c>
      <c r="D6" s="8">
        <v>14.13</v>
      </c>
      <c r="E6" s="12">
        <v>1887</v>
      </c>
      <c r="F6" s="8">
        <v>8.89</v>
      </c>
      <c r="G6" s="12">
        <v>3960</v>
      </c>
      <c r="H6" s="8">
        <v>20.21</v>
      </c>
      <c r="I6" s="12">
        <v>0</v>
      </c>
    </row>
    <row r="7" spans="2:9" ht="15" customHeight="1" x14ac:dyDescent="0.2">
      <c r="B7" t="s">
        <v>53</v>
      </c>
      <c r="C7" s="12">
        <v>2468</v>
      </c>
      <c r="D7" s="8">
        <v>5.96</v>
      </c>
      <c r="E7" s="12">
        <v>917</v>
      </c>
      <c r="F7" s="8">
        <v>4.32</v>
      </c>
      <c r="G7" s="12">
        <v>1545</v>
      </c>
      <c r="H7" s="8">
        <v>7.89</v>
      </c>
      <c r="I7" s="12">
        <v>6</v>
      </c>
    </row>
    <row r="8" spans="2:9" ht="15" customHeight="1" x14ac:dyDescent="0.2">
      <c r="B8" t="s">
        <v>54</v>
      </c>
      <c r="C8" s="12">
        <v>145</v>
      </c>
      <c r="D8" s="8">
        <v>0.35</v>
      </c>
      <c r="E8" s="12">
        <v>0</v>
      </c>
      <c r="F8" s="8">
        <v>0</v>
      </c>
      <c r="G8" s="12">
        <v>126</v>
      </c>
      <c r="H8" s="8">
        <v>0.64</v>
      </c>
      <c r="I8" s="12">
        <v>0</v>
      </c>
    </row>
    <row r="9" spans="2:9" ht="15" customHeight="1" x14ac:dyDescent="0.2">
      <c r="B9" t="s">
        <v>55</v>
      </c>
      <c r="C9" s="12">
        <v>309</v>
      </c>
      <c r="D9" s="8">
        <v>0.75</v>
      </c>
      <c r="E9" s="12">
        <v>28</v>
      </c>
      <c r="F9" s="8">
        <v>0.13</v>
      </c>
      <c r="G9" s="12">
        <v>280</v>
      </c>
      <c r="H9" s="8">
        <v>1.43</v>
      </c>
      <c r="I9" s="12">
        <v>0</v>
      </c>
    </row>
    <row r="10" spans="2:9" ht="15" customHeight="1" x14ac:dyDescent="0.2">
      <c r="B10" t="s">
        <v>56</v>
      </c>
      <c r="C10" s="12">
        <v>455</v>
      </c>
      <c r="D10" s="8">
        <v>1.1000000000000001</v>
      </c>
      <c r="E10" s="12">
        <v>165</v>
      </c>
      <c r="F10" s="8">
        <v>0.78</v>
      </c>
      <c r="G10" s="12">
        <v>280</v>
      </c>
      <c r="H10" s="8">
        <v>1.43</v>
      </c>
      <c r="I10" s="12">
        <v>8</v>
      </c>
    </row>
    <row r="11" spans="2:9" ht="15" customHeight="1" x14ac:dyDescent="0.2">
      <c r="B11" t="s">
        <v>57</v>
      </c>
      <c r="C11" s="12">
        <v>10645</v>
      </c>
      <c r="D11" s="8">
        <v>25.72</v>
      </c>
      <c r="E11" s="12">
        <v>4953</v>
      </c>
      <c r="F11" s="8">
        <v>23.33</v>
      </c>
      <c r="G11" s="12">
        <v>5656</v>
      </c>
      <c r="H11" s="8">
        <v>28.87</v>
      </c>
      <c r="I11" s="12">
        <v>35</v>
      </c>
    </row>
    <row r="12" spans="2:9" ht="15" customHeight="1" x14ac:dyDescent="0.2">
      <c r="B12" t="s">
        <v>58</v>
      </c>
      <c r="C12" s="12">
        <v>341</v>
      </c>
      <c r="D12" s="8">
        <v>0.82</v>
      </c>
      <c r="E12" s="12">
        <v>61</v>
      </c>
      <c r="F12" s="8">
        <v>0.28999999999999998</v>
      </c>
      <c r="G12" s="12">
        <v>280</v>
      </c>
      <c r="H12" s="8">
        <v>1.43</v>
      </c>
      <c r="I12" s="12">
        <v>0</v>
      </c>
    </row>
    <row r="13" spans="2:9" ht="15" customHeight="1" x14ac:dyDescent="0.2">
      <c r="B13" t="s">
        <v>59</v>
      </c>
      <c r="C13" s="12">
        <v>3551</v>
      </c>
      <c r="D13" s="8">
        <v>8.58</v>
      </c>
      <c r="E13" s="12">
        <v>1150</v>
      </c>
      <c r="F13" s="8">
        <v>5.42</v>
      </c>
      <c r="G13" s="12">
        <v>2385</v>
      </c>
      <c r="H13" s="8">
        <v>12.17</v>
      </c>
      <c r="I13" s="12">
        <v>7</v>
      </c>
    </row>
    <row r="14" spans="2:9" ht="15" customHeight="1" x14ac:dyDescent="0.2">
      <c r="B14" t="s">
        <v>60</v>
      </c>
      <c r="C14" s="12">
        <v>2370</v>
      </c>
      <c r="D14" s="8">
        <v>5.73</v>
      </c>
      <c r="E14" s="12">
        <v>1138</v>
      </c>
      <c r="F14" s="8">
        <v>5.36</v>
      </c>
      <c r="G14" s="12">
        <v>1211</v>
      </c>
      <c r="H14" s="8">
        <v>6.18</v>
      </c>
      <c r="I14" s="12">
        <v>6</v>
      </c>
    </row>
    <row r="15" spans="2:9" ht="15" customHeight="1" x14ac:dyDescent="0.2">
      <c r="B15" t="s">
        <v>61</v>
      </c>
      <c r="C15" s="12">
        <v>4822</v>
      </c>
      <c r="D15" s="8">
        <v>11.65</v>
      </c>
      <c r="E15" s="12">
        <v>3862</v>
      </c>
      <c r="F15" s="8">
        <v>18.190000000000001</v>
      </c>
      <c r="G15" s="12">
        <v>928</v>
      </c>
      <c r="H15" s="8">
        <v>4.74</v>
      </c>
      <c r="I15" s="12">
        <v>5</v>
      </c>
    </row>
    <row r="16" spans="2:9" ht="15" customHeight="1" x14ac:dyDescent="0.2">
      <c r="B16" t="s">
        <v>62</v>
      </c>
      <c r="C16" s="12">
        <v>5344</v>
      </c>
      <c r="D16" s="8">
        <v>12.91</v>
      </c>
      <c r="E16" s="12">
        <v>4292</v>
      </c>
      <c r="F16" s="8">
        <v>20.21</v>
      </c>
      <c r="G16" s="12">
        <v>999</v>
      </c>
      <c r="H16" s="8">
        <v>5.0999999999999996</v>
      </c>
      <c r="I16" s="12">
        <v>5</v>
      </c>
    </row>
    <row r="17" spans="2:9" ht="15" customHeight="1" x14ac:dyDescent="0.2">
      <c r="B17" t="s">
        <v>63</v>
      </c>
      <c r="C17" s="12">
        <v>1304</v>
      </c>
      <c r="D17" s="8">
        <v>3.15</v>
      </c>
      <c r="E17" s="12">
        <v>911</v>
      </c>
      <c r="F17" s="8">
        <v>4.29</v>
      </c>
      <c r="G17" s="12">
        <v>290</v>
      </c>
      <c r="H17" s="8">
        <v>1.48</v>
      </c>
      <c r="I17" s="12">
        <v>7</v>
      </c>
    </row>
    <row r="18" spans="2:9" ht="15" customHeight="1" x14ac:dyDescent="0.2">
      <c r="B18" t="s">
        <v>64</v>
      </c>
      <c r="C18" s="12">
        <v>1944</v>
      </c>
      <c r="D18" s="8">
        <v>4.7</v>
      </c>
      <c r="E18" s="12">
        <v>1098</v>
      </c>
      <c r="F18" s="8">
        <v>5.17</v>
      </c>
      <c r="G18" s="12">
        <v>763</v>
      </c>
      <c r="H18" s="8">
        <v>3.89</v>
      </c>
      <c r="I18" s="12">
        <v>4</v>
      </c>
    </row>
    <row r="19" spans="2:9" ht="15" customHeight="1" x14ac:dyDescent="0.2">
      <c r="B19" t="s">
        <v>65</v>
      </c>
      <c r="C19" s="12">
        <v>1828</v>
      </c>
      <c r="D19" s="8">
        <v>4.42</v>
      </c>
      <c r="E19" s="12">
        <v>770</v>
      </c>
      <c r="F19" s="8">
        <v>3.63</v>
      </c>
      <c r="G19" s="12">
        <v>880</v>
      </c>
      <c r="H19" s="8">
        <v>4.49</v>
      </c>
      <c r="I19" s="12">
        <v>126</v>
      </c>
    </row>
    <row r="20" spans="2:9" ht="15" customHeight="1" x14ac:dyDescent="0.2">
      <c r="B20" s="9" t="s">
        <v>281</v>
      </c>
      <c r="C20" s="12">
        <f>SUM(LTBL_43000[総数／事業所数])</f>
        <v>41382</v>
      </c>
      <c r="E20" s="12">
        <f>SUBTOTAL(109,LTBL_43000[個人／事業所数])</f>
        <v>21234</v>
      </c>
      <c r="G20" s="12">
        <f>SUBTOTAL(109,LTBL_43000[法人／事業所数])</f>
        <v>19590</v>
      </c>
      <c r="I20" s="12">
        <f>SUBTOTAL(109,LTBL_43000[法人以外の団体／事業所数])</f>
        <v>209</v>
      </c>
    </row>
    <row r="21" spans="2:9" ht="15" customHeight="1" x14ac:dyDescent="0.2">
      <c r="E21" s="11">
        <f>LTBL_43000[[#Totals],[個人／事業所数]]/LTBL_43000[[#Totals],[総数／事業所数]]</f>
        <v>0.51312164709293895</v>
      </c>
      <c r="G21" s="11">
        <f>LTBL_43000[[#Totals],[法人／事業所数]]/LTBL_43000[[#Totals],[総数／事業所数]]</f>
        <v>0.47339422937509062</v>
      </c>
      <c r="I21" s="11">
        <f>LTBL_43000[[#Totals],[法人以外の団体／事業所数]]/LTBL_43000[[#Totals],[総数／事業所数]]</f>
        <v>5.0505050505050509E-3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4459</v>
      </c>
      <c r="D24" s="8">
        <v>10.78</v>
      </c>
      <c r="E24" s="12">
        <v>3878</v>
      </c>
      <c r="F24" s="8">
        <v>18.260000000000002</v>
      </c>
      <c r="G24" s="12">
        <v>575</v>
      </c>
      <c r="H24" s="8">
        <v>2.94</v>
      </c>
      <c r="I24" s="12">
        <v>1</v>
      </c>
    </row>
    <row r="25" spans="2:9" ht="15" customHeight="1" x14ac:dyDescent="0.2">
      <c r="B25" t="s">
        <v>88</v>
      </c>
      <c r="C25" s="12">
        <v>4098</v>
      </c>
      <c r="D25" s="8">
        <v>9.9</v>
      </c>
      <c r="E25" s="12">
        <v>3478</v>
      </c>
      <c r="F25" s="8">
        <v>16.38</v>
      </c>
      <c r="G25" s="12">
        <v>618</v>
      </c>
      <c r="H25" s="8">
        <v>3.15</v>
      </c>
      <c r="I25" s="12">
        <v>2</v>
      </c>
    </row>
    <row r="26" spans="2:9" ht="15" customHeight="1" x14ac:dyDescent="0.2">
      <c r="B26" t="s">
        <v>83</v>
      </c>
      <c r="C26" s="12">
        <v>3057</v>
      </c>
      <c r="D26" s="8">
        <v>7.39</v>
      </c>
      <c r="E26" s="12">
        <v>1440</v>
      </c>
      <c r="F26" s="8">
        <v>6.78</v>
      </c>
      <c r="G26" s="12">
        <v>1603</v>
      </c>
      <c r="H26" s="8">
        <v>8.18</v>
      </c>
      <c r="I26" s="12">
        <v>14</v>
      </c>
    </row>
    <row r="27" spans="2:9" ht="15" customHeight="1" x14ac:dyDescent="0.2">
      <c r="B27" t="s">
        <v>74</v>
      </c>
      <c r="C27" s="12">
        <v>2856</v>
      </c>
      <c r="D27" s="8">
        <v>6.9</v>
      </c>
      <c r="E27" s="12">
        <v>747</v>
      </c>
      <c r="F27" s="8">
        <v>3.52</v>
      </c>
      <c r="G27" s="12">
        <v>2109</v>
      </c>
      <c r="H27" s="8">
        <v>10.77</v>
      </c>
      <c r="I27" s="12">
        <v>0</v>
      </c>
    </row>
    <row r="28" spans="2:9" ht="15" customHeight="1" x14ac:dyDescent="0.2">
      <c r="B28" t="s">
        <v>85</v>
      </c>
      <c r="C28" s="12">
        <v>2617</v>
      </c>
      <c r="D28" s="8">
        <v>6.32</v>
      </c>
      <c r="E28" s="12">
        <v>961</v>
      </c>
      <c r="F28" s="8">
        <v>4.53</v>
      </c>
      <c r="G28" s="12">
        <v>1642</v>
      </c>
      <c r="H28" s="8">
        <v>8.3800000000000008</v>
      </c>
      <c r="I28" s="12">
        <v>5</v>
      </c>
    </row>
    <row r="29" spans="2:9" ht="15" customHeight="1" x14ac:dyDescent="0.2">
      <c r="B29" t="s">
        <v>81</v>
      </c>
      <c r="C29" s="12">
        <v>2374</v>
      </c>
      <c r="D29" s="8">
        <v>5.74</v>
      </c>
      <c r="E29" s="12">
        <v>1635</v>
      </c>
      <c r="F29" s="8">
        <v>7.7</v>
      </c>
      <c r="G29" s="12">
        <v>721</v>
      </c>
      <c r="H29" s="8">
        <v>3.68</v>
      </c>
      <c r="I29" s="12">
        <v>17</v>
      </c>
    </row>
    <row r="30" spans="2:9" ht="15" customHeight="1" x14ac:dyDescent="0.2">
      <c r="B30" t="s">
        <v>75</v>
      </c>
      <c r="C30" s="12">
        <v>1616</v>
      </c>
      <c r="D30" s="8">
        <v>3.91</v>
      </c>
      <c r="E30" s="12">
        <v>726</v>
      </c>
      <c r="F30" s="8">
        <v>3.42</v>
      </c>
      <c r="G30" s="12">
        <v>890</v>
      </c>
      <c r="H30" s="8">
        <v>4.54</v>
      </c>
      <c r="I30" s="12">
        <v>0</v>
      </c>
    </row>
    <row r="31" spans="2:9" ht="15" customHeight="1" x14ac:dyDescent="0.2">
      <c r="B31" t="s">
        <v>82</v>
      </c>
      <c r="C31" s="12">
        <v>1508</v>
      </c>
      <c r="D31" s="8">
        <v>3.64</v>
      </c>
      <c r="E31" s="12">
        <v>960</v>
      </c>
      <c r="F31" s="8">
        <v>4.5199999999999996</v>
      </c>
      <c r="G31" s="12">
        <v>548</v>
      </c>
      <c r="H31" s="8">
        <v>2.8</v>
      </c>
      <c r="I31" s="12">
        <v>0</v>
      </c>
    </row>
    <row r="32" spans="2:9" ht="15" customHeight="1" x14ac:dyDescent="0.2">
      <c r="B32" t="s">
        <v>76</v>
      </c>
      <c r="C32" s="12">
        <v>1375</v>
      </c>
      <c r="D32" s="8">
        <v>3.32</v>
      </c>
      <c r="E32" s="12">
        <v>414</v>
      </c>
      <c r="F32" s="8">
        <v>1.95</v>
      </c>
      <c r="G32" s="12">
        <v>961</v>
      </c>
      <c r="H32" s="8">
        <v>4.91</v>
      </c>
      <c r="I32" s="12">
        <v>0</v>
      </c>
    </row>
    <row r="33" spans="2:9" ht="15" customHeight="1" x14ac:dyDescent="0.2">
      <c r="B33" t="s">
        <v>90</v>
      </c>
      <c r="C33" s="12">
        <v>1304</v>
      </c>
      <c r="D33" s="8">
        <v>3.15</v>
      </c>
      <c r="E33" s="12">
        <v>911</v>
      </c>
      <c r="F33" s="8">
        <v>4.29</v>
      </c>
      <c r="G33" s="12">
        <v>290</v>
      </c>
      <c r="H33" s="8">
        <v>1.48</v>
      </c>
      <c r="I33" s="12">
        <v>7</v>
      </c>
    </row>
    <row r="34" spans="2:9" ht="15" customHeight="1" x14ac:dyDescent="0.2">
      <c r="B34" t="s">
        <v>86</v>
      </c>
      <c r="C34" s="12">
        <v>1278</v>
      </c>
      <c r="D34" s="8">
        <v>3.09</v>
      </c>
      <c r="E34" s="12">
        <v>818</v>
      </c>
      <c r="F34" s="8">
        <v>3.85</v>
      </c>
      <c r="G34" s="12">
        <v>454</v>
      </c>
      <c r="H34" s="8">
        <v>2.3199999999999998</v>
      </c>
      <c r="I34" s="12">
        <v>6</v>
      </c>
    </row>
    <row r="35" spans="2:9" ht="15" customHeight="1" x14ac:dyDescent="0.2">
      <c r="B35" t="s">
        <v>91</v>
      </c>
      <c r="C35" s="12">
        <v>1249</v>
      </c>
      <c r="D35" s="8">
        <v>3.02</v>
      </c>
      <c r="E35" s="12">
        <v>1089</v>
      </c>
      <c r="F35" s="8">
        <v>5.13</v>
      </c>
      <c r="G35" s="12">
        <v>158</v>
      </c>
      <c r="H35" s="8">
        <v>0.81</v>
      </c>
      <c r="I35" s="12">
        <v>0</v>
      </c>
    </row>
    <row r="36" spans="2:9" ht="15" customHeight="1" x14ac:dyDescent="0.2">
      <c r="B36" t="s">
        <v>80</v>
      </c>
      <c r="C36" s="12">
        <v>1102</v>
      </c>
      <c r="D36" s="8">
        <v>2.66</v>
      </c>
      <c r="E36" s="12">
        <v>423</v>
      </c>
      <c r="F36" s="8">
        <v>1.99</v>
      </c>
      <c r="G36" s="12">
        <v>677</v>
      </c>
      <c r="H36" s="8">
        <v>3.46</v>
      </c>
      <c r="I36" s="12">
        <v>2</v>
      </c>
    </row>
    <row r="37" spans="2:9" ht="15" customHeight="1" x14ac:dyDescent="0.2">
      <c r="B37" t="s">
        <v>87</v>
      </c>
      <c r="C37" s="12">
        <v>1003</v>
      </c>
      <c r="D37" s="8">
        <v>2.42</v>
      </c>
      <c r="E37" s="12">
        <v>315</v>
      </c>
      <c r="F37" s="8">
        <v>1.48</v>
      </c>
      <c r="G37" s="12">
        <v>676</v>
      </c>
      <c r="H37" s="8">
        <v>3.45</v>
      </c>
      <c r="I37" s="12">
        <v>0</v>
      </c>
    </row>
    <row r="38" spans="2:9" ht="15" customHeight="1" x14ac:dyDescent="0.2">
      <c r="B38" t="s">
        <v>93</v>
      </c>
      <c r="C38" s="12">
        <v>772</v>
      </c>
      <c r="D38" s="8">
        <v>1.87</v>
      </c>
      <c r="E38" s="12">
        <v>586</v>
      </c>
      <c r="F38" s="8">
        <v>2.76</v>
      </c>
      <c r="G38" s="12">
        <v>186</v>
      </c>
      <c r="H38" s="8">
        <v>0.95</v>
      </c>
      <c r="I38" s="12">
        <v>0</v>
      </c>
    </row>
    <row r="39" spans="2:9" ht="15" customHeight="1" x14ac:dyDescent="0.2">
      <c r="B39" t="s">
        <v>84</v>
      </c>
      <c r="C39" s="12">
        <v>719</v>
      </c>
      <c r="D39" s="8">
        <v>1.74</v>
      </c>
      <c r="E39" s="12">
        <v>154</v>
      </c>
      <c r="F39" s="8">
        <v>0.73</v>
      </c>
      <c r="G39" s="12">
        <v>563</v>
      </c>
      <c r="H39" s="8">
        <v>2.87</v>
      </c>
      <c r="I39" s="12">
        <v>2</v>
      </c>
    </row>
    <row r="40" spans="2:9" ht="15" customHeight="1" x14ac:dyDescent="0.2">
      <c r="B40" t="s">
        <v>92</v>
      </c>
      <c r="C40" s="12">
        <v>695</v>
      </c>
      <c r="D40" s="8">
        <v>1.68</v>
      </c>
      <c r="E40" s="12">
        <v>9</v>
      </c>
      <c r="F40" s="8">
        <v>0.04</v>
      </c>
      <c r="G40" s="12">
        <v>605</v>
      </c>
      <c r="H40" s="8">
        <v>3.09</v>
      </c>
      <c r="I40" s="12">
        <v>4</v>
      </c>
    </row>
    <row r="41" spans="2:9" ht="15" customHeight="1" x14ac:dyDescent="0.2">
      <c r="B41" t="s">
        <v>79</v>
      </c>
      <c r="C41" s="12">
        <v>571</v>
      </c>
      <c r="D41" s="8">
        <v>1.38</v>
      </c>
      <c r="E41" s="12">
        <v>45</v>
      </c>
      <c r="F41" s="8">
        <v>0.21</v>
      </c>
      <c r="G41" s="12">
        <v>526</v>
      </c>
      <c r="H41" s="8">
        <v>2.69</v>
      </c>
      <c r="I41" s="12">
        <v>0</v>
      </c>
    </row>
    <row r="42" spans="2:9" ht="15" customHeight="1" x14ac:dyDescent="0.2">
      <c r="B42" t="s">
        <v>77</v>
      </c>
      <c r="C42" s="12">
        <v>551</v>
      </c>
      <c r="D42" s="8">
        <v>1.33</v>
      </c>
      <c r="E42" s="12">
        <v>222</v>
      </c>
      <c r="F42" s="8">
        <v>1.05</v>
      </c>
      <c r="G42" s="12">
        <v>323</v>
      </c>
      <c r="H42" s="8">
        <v>1.65</v>
      </c>
      <c r="I42" s="12">
        <v>6</v>
      </c>
    </row>
    <row r="43" spans="2:9" ht="15" customHeight="1" x14ac:dyDescent="0.2">
      <c r="B43" t="s">
        <v>78</v>
      </c>
      <c r="C43" s="12">
        <v>543</v>
      </c>
      <c r="D43" s="8">
        <v>1.31</v>
      </c>
      <c r="E43" s="12">
        <v>131</v>
      </c>
      <c r="F43" s="8">
        <v>0.62</v>
      </c>
      <c r="G43" s="12">
        <v>411</v>
      </c>
      <c r="H43" s="8">
        <v>2.1</v>
      </c>
      <c r="I43" s="12">
        <v>1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2262</v>
      </c>
      <c r="D47" s="8">
        <v>5.47</v>
      </c>
      <c r="E47" s="12">
        <v>2057</v>
      </c>
      <c r="F47" s="8">
        <v>9.69</v>
      </c>
      <c r="G47" s="12">
        <v>205</v>
      </c>
      <c r="H47" s="8">
        <v>1.05</v>
      </c>
      <c r="I47" s="12">
        <v>0</v>
      </c>
    </row>
    <row r="48" spans="2:9" ht="15" customHeight="1" x14ac:dyDescent="0.2">
      <c r="B48" t="s">
        <v>145</v>
      </c>
      <c r="C48" s="12">
        <v>1582</v>
      </c>
      <c r="D48" s="8">
        <v>3.82</v>
      </c>
      <c r="E48" s="12">
        <v>747</v>
      </c>
      <c r="F48" s="8">
        <v>3.52</v>
      </c>
      <c r="G48" s="12">
        <v>829</v>
      </c>
      <c r="H48" s="8">
        <v>4.2300000000000004</v>
      </c>
      <c r="I48" s="12">
        <v>0</v>
      </c>
    </row>
    <row r="49" spans="2:9" ht="15" customHeight="1" x14ac:dyDescent="0.2">
      <c r="B49" t="s">
        <v>150</v>
      </c>
      <c r="C49" s="12">
        <v>1344</v>
      </c>
      <c r="D49" s="8">
        <v>3.25</v>
      </c>
      <c r="E49" s="12">
        <v>1274</v>
      </c>
      <c r="F49" s="8">
        <v>6</v>
      </c>
      <c r="G49" s="12">
        <v>70</v>
      </c>
      <c r="H49" s="8">
        <v>0.36</v>
      </c>
      <c r="I49" s="12">
        <v>0</v>
      </c>
    </row>
    <row r="50" spans="2:9" ht="15" customHeight="1" x14ac:dyDescent="0.2">
      <c r="B50" t="s">
        <v>135</v>
      </c>
      <c r="C50" s="12">
        <v>1105</v>
      </c>
      <c r="D50" s="8">
        <v>2.67</v>
      </c>
      <c r="E50" s="12">
        <v>169</v>
      </c>
      <c r="F50" s="8">
        <v>0.8</v>
      </c>
      <c r="G50" s="12">
        <v>936</v>
      </c>
      <c r="H50" s="8">
        <v>4.78</v>
      </c>
      <c r="I50" s="12">
        <v>0</v>
      </c>
    </row>
    <row r="51" spans="2:9" ht="15" customHeight="1" x14ac:dyDescent="0.2">
      <c r="B51" t="s">
        <v>149</v>
      </c>
      <c r="C51" s="12">
        <v>1068</v>
      </c>
      <c r="D51" s="8">
        <v>2.58</v>
      </c>
      <c r="E51" s="12">
        <v>979</v>
      </c>
      <c r="F51" s="8">
        <v>4.6100000000000003</v>
      </c>
      <c r="G51" s="12">
        <v>89</v>
      </c>
      <c r="H51" s="8">
        <v>0.45</v>
      </c>
      <c r="I51" s="12">
        <v>0</v>
      </c>
    </row>
    <row r="52" spans="2:9" ht="15" customHeight="1" x14ac:dyDescent="0.2">
      <c r="B52" t="s">
        <v>147</v>
      </c>
      <c r="C52" s="12">
        <v>1056</v>
      </c>
      <c r="D52" s="8">
        <v>2.5499999999999998</v>
      </c>
      <c r="E52" s="12">
        <v>818</v>
      </c>
      <c r="F52" s="8">
        <v>3.85</v>
      </c>
      <c r="G52" s="12">
        <v>238</v>
      </c>
      <c r="H52" s="8">
        <v>1.21</v>
      </c>
      <c r="I52" s="12">
        <v>0</v>
      </c>
    </row>
    <row r="53" spans="2:9" ht="15" customHeight="1" x14ac:dyDescent="0.2">
      <c r="B53" t="s">
        <v>141</v>
      </c>
      <c r="C53" s="12">
        <v>963</v>
      </c>
      <c r="D53" s="8">
        <v>2.33</v>
      </c>
      <c r="E53" s="12">
        <v>601</v>
      </c>
      <c r="F53" s="8">
        <v>2.83</v>
      </c>
      <c r="G53" s="12">
        <v>362</v>
      </c>
      <c r="H53" s="8">
        <v>1.85</v>
      </c>
      <c r="I53" s="12">
        <v>0</v>
      </c>
    </row>
    <row r="54" spans="2:9" ht="15" customHeight="1" x14ac:dyDescent="0.2">
      <c r="B54" t="s">
        <v>140</v>
      </c>
      <c r="C54" s="12">
        <v>950</v>
      </c>
      <c r="D54" s="8">
        <v>2.2999999999999998</v>
      </c>
      <c r="E54" s="12">
        <v>621</v>
      </c>
      <c r="F54" s="8">
        <v>2.92</v>
      </c>
      <c r="G54" s="12">
        <v>324</v>
      </c>
      <c r="H54" s="8">
        <v>1.65</v>
      </c>
      <c r="I54" s="12">
        <v>5</v>
      </c>
    </row>
    <row r="55" spans="2:9" ht="15" customHeight="1" x14ac:dyDescent="0.2">
      <c r="B55" t="s">
        <v>153</v>
      </c>
      <c r="C55" s="12">
        <v>911</v>
      </c>
      <c r="D55" s="8">
        <v>2.2000000000000002</v>
      </c>
      <c r="E55" s="12">
        <v>824</v>
      </c>
      <c r="F55" s="8">
        <v>3.88</v>
      </c>
      <c r="G55" s="12">
        <v>87</v>
      </c>
      <c r="H55" s="8">
        <v>0.44</v>
      </c>
      <c r="I55" s="12">
        <v>0</v>
      </c>
    </row>
    <row r="56" spans="2:9" ht="15" customHeight="1" x14ac:dyDescent="0.2">
      <c r="B56" t="s">
        <v>148</v>
      </c>
      <c r="C56" s="12">
        <v>902</v>
      </c>
      <c r="D56" s="8">
        <v>2.1800000000000002</v>
      </c>
      <c r="E56" s="12">
        <v>804</v>
      </c>
      <c r="F56" s="8">
        <v>3.79</v>
      </c>
      <c r="G56" s="12">
        <v>98</v>
      </c>
      <c r="H56" s="8">
        <v>0.5</v>
      </c>
      <c r="I56" s="12">
        <v>0</v>
      </c>
    </row>
    <row r="57" spans="2:9" ht="15" customHeight="1" x14ac:dyDescent="0.2">
      <c r="B57" t="s">
        <v>143</v>
      </c>
      <c r="C57" s="12">
        <v>818</v>
      </c>
      <c r="D57" s="8">
        <v>1.98</v>
      </c>
      <c r="E57" s="12">
        <v>543</v>
      </c>
      <c r="F57" s="8">
        <v>2.56</v>
      </c>
      <c r="G57" s="12">
        <v>275</v>
      </c>
      <c r="H57" s="8">
        <v>1.4</v>
      </c>
      <c r="I57" s="12">
        <v>0</v>
      </c>
    </row>
    <row r="58" spans="2:9" ht="15" customHeight="1" x14ac:dyDescent="0.2">
      <c r="B58" t="s">
        <v>152</v>
      </c>
      <c r="C58" s="12">
        <v>816</v>
      </c>
      <c r="D58" s="8">
        <v>1.97</v>
      </c>
      <c r="E58" s="12">
        <v>640</v>
      </c>
      <c r="F58" s="8">
        <v>3.01</v>
      </c>
      <c r="G58" s="12">
        <v>171</v>
      </c>
      <c r="H58" s="8">
        <v>0.87</v>
      </c>
      <c r="I58" s="12">
        <v>4</v>
      </c>
    </row>
    <row r="59" spans="2:9" ht="15" customHeight="1" x14ac:dyDescent="0.2">
      <c r="B59" t="s">
        <v>154</v>
      </c>
      <c r="C59" s="12">
        <v>772</v>
      </c>
      <c r="D59" s="8">
        <v>1.87</v>
      </c>
      <c r="E59" s="12">
        <v>586</v>
      </c>
      <c r="F59" s="8">
        <v>2.76</v>
      </c>
      <c r="G59" s="12">
        <v>186</v>
      </c>
      <c r="H59" s="8">
        <v>0.95</v>
      </c>
      <c r="I59" s="12">
        <v>0</v>
      </c>
    </row>
    <row r="60" spans="2:9" ht="15" customHeight="1" x14ac:dyDescent="0.2">
      <c r="B60" t="s">
        <v>137</v>
      </c>
      <c r="C60" s="12">
        <v>675</v>
      </c>
      <c r="D60" s="8">
        <v>1.63</v>
      </c>
      <c r="E60" s="12">
        <v>337</v>
      </c>
      <c r="F60" s="8">
        <v>1.59</v>
      </c>
      <c r="G60" s="12">
        <v>338</v>
      </c>
      <c r="H60" s="8">
        <v>1.73</v>
      </c>
      <c r="I60" s="12">
        <v>0</v>
      </c>
    </row>
    <row r="61" spans="2:9" ht="15" customHeight="1" x14ac:dyDescent="0.2">
      <c r="B61" t="s">
        <v>138</v>
      </c>
      <c r="C61" s="12">
        <v>675</v>
      </c>
      <c r="D61" s="8">
        <v>1.63</v>
      </c>
      <c r="E61" s="12">
        <v>247</v>
      </c>
      <c r="F61" s="8">
        <v>1.1599999999999999</v>
      </c>
      <c r="G61" s="12">
        <v>428</v>
      </c>
      <c r="H61" s="8">
        <v>2.1800000000000002</v>
      </c>
      <c r="I61" s="12">
        <v>0</v>
      </c>
    </row>
    <row r="62" spans="2:9" ht="15" customHeight="1" x14ac:dyDescent="0.2">
      <c r="B62" t="s">
        <v>146</v>
      </c>
      <c r="C62" s="12">
        <v>673</v>
      </c>
      <c r="D62" s="8">
        <v>1.63</v>
      </c>
      <c r="E62" s="12">
        <v>158</v>
      </c>
      <c r="F62" s="8">
        <v>0.74</v>
      </c>
      <c r="G62" s="12">
        <v>503</v>
      </c>
      <c r="H62" s="8">
        <v>2.57</v>
      </c>
      <c r="I62" s="12">
        <v>0</v>
      </c>
    </row>
    <row r="63" spans="2:9" ht="15" customHeight="1" x14ac:dyDescent="0.2">
      <c r="B63" t="s">
        <v>142</v>
      </c>
      <c r="C63" s="12">
        <v>641</v>
      </c>
      <c r="D63" s="8">
        <v>1.55</v>
      </c>
      <c r="E63" s="12">
        <v>160</v>
      </c>
      <c r="F63" s="8">
        <v>0.75</v>
      </c>
      <c r="G63" s="12">
        <v>481</v>
      </c>
      <c r="H63" s="8">
        <v>2.46</v>
      </c>
      <c r="I63" s="12">
        <v>0</v>
      </c>
    </row>
    <row r="64" spans="2:9" ht="15" customHeight="1" x14ac:dyDescent="0.2">
      <c r="B64" t="s">
        <v>136</v>
      </c>
      <c r="C64" s="12">
        <v>638</v>
      </c>
      <c r="D64" s="8">
        <v>1.54</v>
      </c>
      <c r="E64" s="12">
        <v>138</v>
      </c>
      <c r="F64" s="8">
        <v>0.65</v>
      </c>
      <c r="G64" s="12">
        <v>500</v>
      </c>
      <c r="H64" s="8">
        <v>2.5499999999999998</v>
      </c>
      <c r="I64" s="12">
        <v>0</v>
      </c>
    </row>
    <row r="65" spans="2:9" ht="15" customHeight="1" x14ac:dyDescent="0.2">
      <c r="B65" t="s">
        <v>144</v>
      </c>
      <c r="C65" s="12">
        <v>560</v>
      </c>
      <c r="D65" s="8">
        <v>1.35</v>
      </c>
      <c r="E65" s="12">
        <v>56</v>
      </c>
      <c r="F65" s="8">
        <v>0.26</v>
      </c>
      <c r="G65" s="12">
        <v>498</v>
      </c>
      <c r="H65" s="8">
        <v>2.54</v>
      </c>
      <c r="I65" s="12">
        <v>5</v>
      </c>
    </row>
    <row r="66" spans="2:9" ht="15" customHeight="1" x14ac:dyDescent="0.2">
      <c r="B66" t="s">
        <v>139</v>
      </c>
      <c r="C66" s="12">
        <v>559</v>
      </c>
      <c r="D66" s="8">
        <v>1.35</v>
      </c>
      <c r="E66" s="12">
        <v>239</v>
      </c>
      <c r="F66" s="8">
        <v>1.1299999999999999</v>
      </c>
      <c r="G66" s="12">
        <v>320</v>
      </c>
      <c r="H66" s="8">
        <v>1.63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EC9D-34A0-4ACD-A11A-FC60E1876199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22</v>
      </c>
      <c r="D6" s="8">
        <v>20.75</v>
      </c>
      <c r="E6" s="12">
        <v>17</v>
      </c>
      <c r="F6" s="8">
        <v>24.29</v>
      </c>
      <c r="G6" s="12">
        <v>5</v>
      </c>
      <c r="H6" s="8">
        <v>15.15</v>
      </c>
      <c r="I6" s="12">
        <v>0</v>
      </c>
    </row>
    <row r="7" spans="2:9" ht="15" customHeight="1" x14ac:dyDescent="0.2">
      <c r="B7" t="s">
        <v>53</v>
      </c>
      <c r="C7" s="12">
        <v>21</v>
      </c>
      <c r="D7" s="8">
        <v>19.809999999999999</v>
      </c>
      <c r="E7" s="12">
        <v>5</v>
      </c>
      <c r="F7" s="8">
        <v>7.14</v>
      </c>
      <c r="G7" s="12">
        <v>16</v>
      </c>
      <c r="H7" s="8">
        <v>48.48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0.94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28</v>
      </c>
      <c r="D11" s="8">
        <v>26.42</v>
      </c>
      <c r="E11" s="12">
        <v>20</v>
      </c>
      <c r="F11" s="8">
        <v>28.57</v>
      </c>
      <c r="G11" s="12">
        <v>8</v>
      </c>
      <c r="H11" s="8">
        <v>24.24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4</v>
      </c>
      <c r="D13" s="8">
        <v>3.77</v>
      </c>
      <c r="E13" s="12">
        <v>2</v>
      </c>
      <c r="F13" s="8">
        <v>2.86</v>
      </c>
      <c r="G13" s="12">
        <v>2</v>
      </c>
      <c r="H13" s="8">
        <v>6.06</v>
      </c>
      <c r="I13" s="12">
        <v>0</v>
      </c>
    </row>
    <row r="14" spans="2:9" ht="15" customHeight="1" x14ac:dyDescent="0.2">
      <c r="B14" t="s">
        <v>60</v>
      </c>
      <c r="C14" s="12">
        <v>3</v>
      </c>
      <c r="D14" s="8">
        <v>2.83</v>
      </c>
      <c r="E14" s="12">
        <v>2</v>
      </c>
      <c r="F14" s="8">
        <v>2.86</v>
      </c>
      <c r="G14" s="12">
        <v>0</v>
      </c>
      <c r="H14" s="8">
        <v>0</v>
      </c>
      <c r="I14" s="12">
        <v>1</v>
      </c>
    </row>
    <row r="15" spans="2:9" ht="15" customHeight="1" x14ac:dyDescent="0.2">
      <c r="B15" t="s">
        <v>61</v>
      </c>
      <c r="C15" s="12">
        <v>5</v>
      </c>
      <c r="D15" s="8">
        <v>4.72</v>
      </c>
      <c r="E15" s="12">
        <v>5</v>
      </c>
      <c r="F15" s="8">
        <v>7.14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62</v>
      </c>
      <c r="C16" s="12">
        <v>11</v>
      </c>
      <c r="D16" s="8">
        <v>10.38</v>
      </c>
      <c r="E16" s="12">
        <v>11</v>
      </c>
      <c r="F16" s="8">
        <v>15.71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3.77</v>
      </c>
      <c r="E17" s="12">
        <v>4</v>
      </c>
      <c r="F17" s="8">
        <v>5.71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3</v>
      </c>
      <c r="D18" s="8">
        <v>2.83</v>
      </c>
      <c r="E18" s="12">
        <v>2</v>
      </c>
      <c r="F18" s="8">
        <v>2.86</v>
      </c>
      <c r="G18" s="12">
        <v>0</v>
      </c>
      <c r="H18" s="8">
        <v>0</v>
      </c>
      <c r="I18" s="12">
        <v>1</v>
      </c>
    </row>
    <row r="19" spans="2:9" ht="15" customHeight="1" x14ac:dyDescent="0.2">
      <c r="B19" t="s">
        <v>65</v>
      </c>
      <c r="C19" s="12">
        <v>4</v>
      </c>
      <c r="D19" s="8">
        <v>3.77</v>
      </c>
      <c r="E19" s="12">
        <v>2</v>
      </c>
      <c r="F19" s="8">
        <v>2.86</v>
      </c>
      <c r="G19" s="12">
        <v>2</v>
      </c>
      <c r="H19" s="8">
        <v>6.06</v>
      </c>
      <c r="I19" s="12">
        <v>0</v>
      </c>
    </row>
    <row r="20" spans="2:9" ht="15" customHeight="1" x14ac:dyDescent="0.2">
      <c r="B20" s="9" t="s">
        <v>281</v>
      </c>
      <c r="C20" s="12">
        <f>SUM(LTBL_43510[総数／事業所数])</f>
        <v>106</v>
      </c>
      <c r="E20" s="12">
        <f>SUBTOTAL(109,LTBL_43510[個人／事業所数])</f>
        <v>70</v>
      </c>
      <c r="G20" s="12">
        <f>SUBTOTAL(109,LTBL_43510[法人／事業所数])</f>
        <v>33</v>
      </c>
      <c r="I20" s="12">
        <f>SUBTOTAL(109,LTBL_43510[法人以外の団体／事業所数])</f>
        <v>2</v>
      </c>
    </row>
    <row r="21" spans="2:9" ht="15" customHeight="1" x14ac:dyDescent="0.2">
      <c r="E21" s="11">
        <f>LTBL_43510[[#Totals],[個人／事業所数]]/LTBL_43510[[#Totals],[総数／事業所数]]</f>
        <v>0.660377358490566</v>
      </c>
      <c r="G21" s="11">
        <f>LTBL_43510[[#Totals],[法人／事業所数]]/LTBL_43510[[#Totals],[総数／事業所数]]</f>
        <v>0.31132075471698112</v>
      </c>
      <c r="I21" s="11">
        <f>LTBL_43510[[#Totals],[法人以外の団体／事業所数]]/LTBL_43510[[#Totals],[総数／事業所数]]</f>
        <v>1.8867924528301886E-2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15</v>
      </c>
      <c r="D24" s="8">
        <v>14.15</v>
      </c>
      <c r="E24" s="12">
        <v>11</v>
      </c>
      <c r="F24" s="8">
        <v>15.71</v>
      </c>
      <c r="G24" s="12">
        <v>4</v>
      </c>
      <c r="H24" s="8">
        <v>12.12</v>
      </c>
      <c r="I24" s="12">
        <v>0</v>
      </c>
    </row>
    <row r="25" spans="2:9" ht="15" customHeight="1" x14ac:dyDescent="0.2">
      <c r="B25" t="s">
        <v>81</v>
      </c>
      <c r="C25" s="12">
        <v>10</v>
      </c>
      <c r="D25" s="8">
        <v>9.43</v>
      </c>
      <c r="E25" s="12">
        <v>10</v>
      </c>
      <c r="F25" s="8">
        <v>14.29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89</v>
      </c>
      <c r="C26" s="12">
        <v>10</v>
      </c>
      <c r="D26" s="8">
        <v>9.43</v>
      </c>
      <c r="E26" s="12">
        <v>10</v>
      </c>
      <c r="F26" s="8">
        <v>14.29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83</v>
      </c>
      <c r="C27" s="12">
        <v>8</v>
      </c>
      <c r="D27" s="8">
        <v>7.55</v>
      </c>
      <c r="E27" s="12">
        <v>5</v>
      </c>
      <c r="F27" s="8">
        <v>7.14</v>
      </c>
      <c r="G27" s="12">
        <v>3</v>
      </c>
      <c r="H27" s="8">
        <v>9.09</v>
      </c>
      <c r="I27" s="12">
        <v>0</v>
      </c>
    </row>
    <row r="28" spans="2:9" ht="15" customHeight="1" x14ac:dyDescent="0.2">
      <c r="B28" t="s">
        <v>108</v>
      </c>
      <c r="C28" s="12">
        <v>7</v>
      </c>
      <c r="D28" s="8">
        <v>6.6</v>
      </c>
      <c r="E28" s="12">
        <v>2</v>
      </c>
      <c r="F28" s="8">
        <v>2.86</v>
      </c>
      <c r="G28" s="12">
        <v>5</v>
      </c>
      <c r="H28" s="8">
        <v>15.15</v>
      </c>
      <c r="I28" s="12">
        <v>0</v>
      </c>
    </row>
    <row r="29" spans="2:9" ht="15" customHeight="1" x14ac:dyDescent="0.2">
      <c r="B29" t="s">
        <v>75</v>
      </c>
      <c r="C29" s="12">
        <v>5</v>
      </c>
      <c r="D29" s="8">
        <v>4.72</v>
      </c>
      <c r="E29" s="12">
        <v>4</v>
      </c>
      <c r="F29" s="8">
        <v>5.71</v>
      </c>
      <c r="G29" s="12">
        <v>1</v>
      </c>
      <c r="H29" s="8">
        <v>3.03</v>
      </c>
      <c r="I29" s="12">
        <v>0</v>
      </c>
    </row>
    <row r="30" spans="2:9" ht="15" customHeight="1" x14ac:dyDescent="0.2">
      <c r="B30" t="s">
        <v>82</v>
      </c>
      <c r="C30" s="12">
        <v>5</v>
      </c>
      <c r="D30" s="8">
        <v>4.72</v>
      </c>
      <c r="E30" s="12">
        <v>3</v>
      </c>
      <c r="F30" s="8">
        <v>4.29</v>
      </c>
      <c r="G30" s="12">
        <v>2</v>
      </c>
      <c r="H30" s="8">
        <v>6.06</v>
      </c>
      <c r="I30" s="12">
        <v>0</v>
      </c>
    </row>
    <row r="31" spans="2:9" ht="15" customHeight="1" x14ac:dyDescent="0.2">
      <c r="B31" t="s">
        <v>77</v>
      </c>
      <c r="C31" s="12">
        <v>4</v>
      </c>
      <c r="D31" s="8">
        <v>3.77</v>
      </c>
      <c r="E31" s="12">
        <v>1</v>
      </c>
      <c r="F31" s="8">
        <v>1.43</v>
      </c>
      <c r="G31" s="12">
        <v>3</v>
      </c>
      <c r="H31" s="8">
        <v>9.09</v>
      </c>
      <c r="I31" s="12">
        <v>0</v>
      </c>
    </row>
    <row r="32" spans="2:9" ht="15" customHeight="1" x14ac:dyDescent="0.2">
      <c r="B32" t="s">
        <v>109</v>
      </c>
      <c r="C32" s="12">
        <v>4</v>
      </c>
      <c r="D32" s="8">
        <v>3.77</v>
      </c>
      <c r="E32" s="12">
        <v>0</v>
      </c>
      <c r="F32" s="8">
        <v>0</v>
      </c>
      <c r="G32" s="12">
        <v>4</v>
      </c>
      <c r="H32" s="8">
        <v>12.12</v>
      </c>
      <c r="I32" s="12">
        <v>0</v>
      </c>
    </row>
    <row r="33" spans="2:9" ht="15" customHeight="1" x14ac:dyDescent="0.2">
      <c r="B33" t="s">
        <v>88</v>
      </c>
      <c r="C33" s="12">
        <v>4</v>
      </c>
      <c r="D33" s="8">
        <v>3.77</v>
      </c>
      <c r="E33" s="12">
        <v>4</v>
      </c>
      <c r="F33" s="8">
        <v>5.71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90</v>
      </c>
      <c r="C34" s="12">
        <v>4</v>
      </c>
      <c r="D34" s="8">
        <v>3.77</v>
      </c>
      <c r="E34" s="12">
        <v>4</v>
      </c>
      <c r="F34" s="8">
        <v>5.71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99</v>
      </c>
      <c r="C35" s="12">
        <v>3</v>
      </c>
      <c r="D35" s="8">
        <v>2.83</v>
      </c>
      <c r="E35" s="12">
        <v>1</v>
      </c>
      <c r="F35" s="8">
        <v>1.43</v>
      </c>
      <c r="G35" s="12">
        <v>2</v>
      </c>
      <c r="H35" s="8">
        <v>6.06</v>
      </c>
      <c r="I35" s="12">
        <v>0</v>
      </c>
    </row>
    <row r="36" spans="2:9" ht="15" customHeight="1" x14ac:dyDescent="0.2">
      <c r="B36" t="s">
        <v>86</v>
      </c>
      <c r="C36" s="12">
        <v>3</v>
      </c>
      <c r="D36" s="8">
        <v>2.83</v>
      </c>
      <c r="E36" s="12">
        <v>2</v>
      </c>
      <c r="F36" s="8">
        <v>2.86</v>
      </c>
      <c r="G36" s="12">
        <v>0</v>
      </c>
      <c r="H36" s="8">
        <v>0</v>
      </c>
      <c r="I36" s="12">
        <v>1</v>
      </c>
    </row>
    <row r="37" spans="2:9" ht="15" customHeight="1" x14ac:dyDescent="0.2">
      <c r="B37" t="s">
        <v>93</v>
      </c>
      <c r="C37" s="12">
        <v>3</v>
      </c>
      <c r="D37" s="8">
        <v>2.83</v>
      </c>
      <c r="E37" s="12">
        <v>2</v>
      </c>
      <c r="F37" s="8">
        <v>2.86</v>
      </c>
      <c r="G37" s="12">
        <v>1</v>
      </c>
      <c r="H37" s="8">
        <v>3.03</v>
      </c>
      <c r="I37" s="12">
        <v>0</v>
      </c>
    </row>
    <row r="38" spans="2:9" ht="15" customHeight="1" x14ac:dyDescent="0.2">
      <c r="B38" t="s">
        <v>76</v>
      </c>
      <c r="C38" s="12">
        <v>2</v>
      </c>
      <c r="D38" s="8">
        <v>1.89</v>
      </c>
      <c r="E38" s="12">
        <v>2</v>
      </c>
      <c r="F38" s="8">
        <v>2.86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128</v>
      </c>
      <c r="C39" s="12">
        <v>2</v>
      </c>
      <c r="D39" s="8">
        <v>1.89</v>
      </c>
      <c r="E39" s="12">
        <v>0</v>
      </c>
      <c r="F39" s="8">
        <v>0</v>
      </c>
      <c r="G39" s="12">
        <v>2</v>
      </c>
      <c r="H39" s="8">
        <v>6.06</v>
      </c>
      <c r="I39" s="12">
        <v>0</v>
      </c>
    </row>
    <row r="40" spans="2:9" ht="15" customHeight="1" x14ac:dyDescent="0.2">
      <c r="B40" t="s">
        <v>102</v>
      </c>
      <c r="C40" s="12">
        <v>2</v>
      </c>
      <c r="D40" s="8">
        <v>1.89</v>
      </c>
      <c r="E40" s="12">
        <v>1</v>
      </c>
      <c r="F40" s="8">
        <v>1.43</v>
      </c>
      <c r="G40" s="12">
        <v>1</v>
      </c>
      <c r="H40" s="8">
        <v>3.03</v>
      </c>
      <c r="I40" s="12">
        <v>0</v>
      </c>
    </row>
    <row r="41" spans="2:9" ht="15" customHeight="1" x14ac:dyDescent="0.2">
      <c r="B41" t="s">
        <v>85</v>
      </c>
      <c r="C41" s="12">
        <v>2</v>
      </c>
      <c r="D41" s="8">
        <v>1.89</v>
      </c>
      <c r="E41" s="12">
        <v>1</v>
      </c>
      <c r="F41" s="8">
        <v>1.43</v>
      </c>
      <c r="G41" s="12">
        <v>1</v>
      </c>
      <c r="H41" s="8">
        <v>3.03</v>
      </c>
      <c r="I41" s="12">
        <v>0</v>
      </c>
    </row>
    <row r="42" spans="2:9" ht="15" customHeight="1" x14ac:dyDescent="0.2">
      <c r="B42" t="s">
        <v>117</v>
      </c>
      <c r="C42" s="12">
        <v>2</v>
      </c>
      <c r="D42" s="8">
        <v>1.89</v>
      </c>
      <c r="E42" s="12">
        <v>1</v>
      </c>
      <c r="F42" s="8">
        <v>1.43</v>
      </c>
      <c r="G42" s="12">
        <v>1</v>
      </c>
      <c r="H42" s="8">
        <v>3.03</v>
      </c>
      <c r="I42" s="12">
        <v>0</v>
      </c>
    </row>
    <row r="43" spans="2:9" ht="15" customHeight="1" x14ac:dyDescent="0.2">
      <c r="B43" t="s">
        <v>91</v>
      </c>
      <c r="C43" s="12">
        <v>2</v>
      </c>
      <c r="D43" s="8">
        <v>1.89</v>
      </c>
      <c r="E43" s="12">
        <v>2</v>
      </c>
      <c r="F43" s="8">
        <v>2.86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135</v>
      </c>
      <c r="C47" s="12">
        <v>7</v>
      </c>
      <c r="D47" s="8">
        <v>6.6</v>
      </c>
      <c r="E47" s="12">
        <v>4</v>
      </c>
      <c r="F47" s="8">
        <v>5.71</v>
      </c>
      <c r="G47" s="12">
        <v>3</v>
      </c>
      <c r="H47" s="8">
        <v>9.09</v>
      </c>
      <c r="I47" s="12">
        <v>0</v>
      </c>
    </row>
    <row r="48" spans="2:9" ht="15" customHeight="1" x14ac:dyDescent="0.2">
      <c r="B48" t="s">
        <v>151</v>
      </c>
      <c r="C48" s="12">
        <v>5</v>
      </c>
      <c r="D48" s="8">
        <v>4.72</v>
      </c>
      <c r="E48" s="12">
        <v>5</v>
      </c>
      <c r="F48" s="8">
        <v>7.14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141</v>
      </c>
      <c r="C49" s="12">
        <v>4</v>
      </c>
      <c r="D49" s="8">
        <v>3.77</v>
      </c>
      <c r="E49" s="12">
        <v>2</v>
      </c>
      <c r="F49" s="8">
        <v>2.86</v>
      </c>
      <c r="G49" s="12">
        <v>2</v>
      </c>
      <c r="H49" s="8">
        <v>6.06</v>
      </c>
      <c r="I49" s="12">
        <v>0</v>
      </c>
    </row>
    <row r="50" spans="2:9" ht="15" customHeight="1" x14ac:dyDescent="0.2">
      <c r="B50" t="s">
        <v>143</v>
      </c>
      <c r="C50" s="12">
        <v>4</v>
      </c>
      <c r="D50" s="8">
        <v>3.77</v>
      </c>
      <c r="E50" s="12">
        <v>3</v>
      </c>
      <c r="F50" s="8">
        <v>4.29</v>
      </c>
      <c r="G50" s="12">
        <v>1</v>
      </c>
      <c r="H50" s="8">
        <v>3.03</v>
      </c>
      <c r="I50" s="12">
        <v>0</v>
      </c>
    </row>
    <row r="51" spans="2:9" ht="15" customHeight="1" x14ac:dyDescent="0.2">
      <c r="B51" t="s">
        <v>150</v>
      </c>
      <c r="C51" s="12">
        <v>4</v>
      </c>
      <c r="D51" s="8">
        <v>3.77</v>
      </c>
      <c r="E51" s="12">
        <v>4</v>
      </c>
      <c r="F51" s="8">
        <v>5.71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137</v>
      </c>
      <c r="C52" s="12">
        <v>3</v>
      </c>
      <c r="D52" s="8">
        <v>2.83</v>
      </c>
      <c r="E52" s="12">
        <v>3</v>
      </c>
      <c r="F52" s="8">
        <v>4.29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185</v>
      </c>
      <c r="C53" s="12">
        <v>3</v>
      </c>
      <c r="D53" s="8">
        <v>2.83</v>
      </c>
      <c r="E53" s="12">
        <v>0</v>
      </c>
      <c r="F53" s="8">
        <v>0</v>
      </c>
      <c r="G53" s="12">
        <v>3</v>
      </c>
      <c r="H53" s="8">
        <v>9.09</v>
      </c>
      <c r="I53" s="12">
        <v>0</v>
      </c>
    </row>
    <row r="54" spans="2:9" ht="15" customHeight="1" x14ac:dyDescent="0.2">
      <c r="B54" t="s">
        <v>266</v>
      </c>
      <c r="C54" s="12">
        <v>3</v>
      </c>
      <c r="D54" s="8">
        <v>2.83</v>
      </c>
      <c r="E54" s="12">
        <v>2</v>
      </c>
      <c r="F54" s="8">
        <v>2.86</v>
      </c>
      <c r="G54" s="12">
        <v>1</v>
      </c>
      <c r="H54" s="8">
        <v>3.03</v>
      </c>
      <c r="I54" s="12">
        <v>0</v>
      </c>
    </row>
    <row r="55" spans="2:9" ht="15" customHeight="1" x14ac:dyDescent="0.2">
      <c r="B55" t="s">
        <v>186</v>
      </c>
      <c r="C55" s="12">
        <v>3</v>
      </c>
      <c r="D55" s="8">
        <v>2.83</v>
      </c>
      <c r="E55" s="12">
        <v>0</v>
      </c>
      <c r="F55" s="8">
        <v>0</v>
      </c>
      <c r="G55" s="12">
        <v>3</v>
      </c>
      <c r="H55" s="8">
        <v>9.09</v>
      </c>
      <c r="I55" s="12">
        <v>0</v>
      </c>
    </row>
    <row r="56" spans="2:9" ht="15" customHeight="1" x14ac:dyDescent="0.2">
      <c r="B56" t="s">
        <v>201</v>
      </c>
      <c r="C56" s="12">
        <v>3</v>
      </c>
      <c r="D56" s="8">
        <v>2.83</v>
      </c>
      <c r="E56" s="12">
        <v>3</v>
      </c>
      <c r="F56" s="8">
        <v>4.29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140</v>
      </c>
      <c r="C57" s="12">
        <v>3</v>
      </c>
      <c r="D57" s="8">
        <v>2.83</v>
      </c>
      <c r="E57" s="12">
        <v>3</v>
      </c>
      <c r="F57" s="8">
        <v>4.29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168</v>
      </c>
      <c r="C58" s="12">
        <v>3</v>
      </c>
      <c r="D58" s="8">
        <v>2.83</v>
      </c>
      <c r="E58" s="12">
        <v>1</v>
      </c>
      <c r="F58" s="8">
        <v>1.43</v>
      </c>
      <c r="G58" s="12">
        <v>2</v>
      </c>
      <c r="H58" s="8">
        <v>6.06</v>
      </c>
      <c r="I58" s="12">
        <v>0</v>
      </c>
    </row>
    <row r="59" spans="2:9" ht="15" customHeight="1" x14ac:dyDescent="0.2">
      <c r="B59" t="s">
        <v>154</v>
      </c>
      <c r="C59" s="12">
        <v>3</v>
      </c>
      <c r="D59" s="8">
        <v>2.83</v>
      </c>
      <c r="E59" s="12">
        <v>2</v>
      </c>
      <c r="F59" s="8">
        <v>2.86</v>
      </c>
      <c r="G59" s="12">
        <v>1</v>
      </c>
      <c r="H59" s="8">
        <v>3.03</v>
      </c>
      <c r="I59" s="12">
        <v>0</v>
      </c>
    </row>
    <row r="60" spans="2:9" ht="15" customHeight="1" x14ac:dyDescent="0.2">
      <c r="B60" t="s">
        <v>136</v>
      </c>
      <c r="C60" s="12">
        <v>2</v>
      </c>
      <c r="D60" s="8">
        <v>1.89</v>
      </c>
      <c r="E60" s="12">
        <v>2</v>
      </c>
      <c r="F60" s="8">
        <v>2.86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259</v>
      </c>
      <c r="C61" s="12">
        <v>2</v>
      </c>
      <c r="D61" s="8">
        <v>1.89</v>
      </c>
      <c r="E61" s="12">
        <v>2</v>
      </c>
      <c r="F61" s="8">
        <v>2.86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184</v>
      </c>
      <c r="C62" s="12">
        <v>2</v>
      </c>
      <c r="D62" s="8">
        <v>1.89</v>
      </c>
      <c r="E62" s="12">
        <v>1</v>
      </c>
      <c r="F62" s="8">
        <v>1.43</v>
      </c>
      <c r="G62" s="12">
        <v>1</v>
      </c>
      <c r="H62" s="8">
        <v>3.03</v>
      </c>
      <c r="I62" s="12">
        <v>0</v>
      </c>
    </row>
    <row r="63" spans="2:9" ht="15" customHeight="1" x14ac:dyDescent="0.2">
      <c r="B63" t="s">
        <v>175</v>
      </c>
      <c r="C63" s="12">
        <v>2</v>
      </c>
      <c r="D63" s="8">
        <v>1.89</v>
      </c>
      <c r="E63" s="12">
        <v>2</v>
      </c>
      <c r="F63" s="8">
        <v>2.86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138</v>
      </c>
      <c r="C64" s="12">
        <v>2</v>
      </c>
      <c r="D64" s="8">
        <v>1.89</v>
      </c>
      <c r="E64" s="12">
        <v>2</v>
      </c>
      <c r="F64" s="8">
        <v>2.86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260</v>
      </c>
      <c r="C65" s="12">
        <v>2</v>
      </c>
      <c r="D65" s="8">
        <v>1.89</v>
      </c>
      <c r="E65" s="12">
        <v>0</v>
      </c>
      <c r="F65" s="8">
        <v>0</v>
      </c>
      <c r="G65" s="12">
        <v>2</v>
      </c>
      <c r="H65" s="8">
        <v>6.06</v>
      </c>
      <c r="I65" s="12">
        <v>0</v>
      </c>
    </row>
    <row r="66" spans="2:9" ht="15" customHeight="1" x14ac:dyDescent="0.2">
      <c r="B66" t="s">
        <v>243</v>
      </c>
      <c r="C66" s="12">
        <v>2</v>
      </c>
      <c r="D66" s="8">
        <v>1.89</v>
      </c>
      <c r="E66" s="12">
        <v>0</v>
      </c>
      <c r="F66" s="8">
        <v>0</v>
      </c>
      <c r="G66" s="12">
        <v>2</v>
      </c>
      <c r="H66" s="8">
        <v>6.06</v>
      </c>
      <c r="I66" s="12">
        <v>0</v>
      </c>
    </row>
    <row r="67" spans="2:9" ht="15" customHeight="1" x14ac:dyDescent="0.2">
      <c r="B67" t="s">
        <v>267</v>
      </c>
      <c r="C67" s="12">
        <v>2</v>
      </c>
      <c r="D67" s="8">
        <v>1.89</v>
      </c>
      <c r="E67" s="12">
        <v>1</v>
      </c>
      <c r="F67" s="8">
        <v>1.43</v>
      </c>
      <c r="G67" s="12">
        <v>1</v>
      </c>
      <c r="H67" s="8">
        <v>3.03</v>
      </c>
      <c r="I67" s="12">
        <v>0</v>
      </c>
    </row>
    <row r="68" spans="2:9" ht="15" customHeight="1" x14ac:dyDescent="0.2">
      <c r="B68" t="s">
        <v>174</v>
      </c>
      <c r="C68" s="12">
        <v>2</v>
      </c>
      <c r="D68" s="8">
        <v>1.89</v>
      </c>
      <c r="E68" s="12">
        <v>2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250</v>
      </c>
      <c r="C69" s="12">
        <v>2</v>
      </c>
      <c r="D69" s="8">
        <v>1.89</v>
      </c>
      <c r="E69" s="12">
        <v>1</v>
      </c>
      <c r="F69" s="8">
        <v>1.43</v>
      </c>
      <c r="G69" s="12">
        <v>1</v>
      </c>
      <c r="H69" s="8">
        <v>3.03</v>
      </c>
      <c r="I69" s="12">
        <v>0</v>
      </c>
    </row>
    <row r="70" spans="2:9" ht="15" customHeight="1" x14ac:dyDescent="0.2">
      <c r="B70" t="s">
        <v>172</v>
      </c>
      <c r="C70" s="12">
        <v>2</v>
      </c>
      <c r="D70" s="8">
        <v>1.89</v>
      </c>
      <c r="E70" s="12">
        <v>2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152</v>
      </c>
      <c r="C71" s="12">
        <v>2</v>
      </c>
      <c r="D71" s="8">
        <v>1.89</v>
      </c>
      <c r="E71" s="12">
        <v>2</v>
      </c>
      <c r="F71" s="8">
        <v>2.86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153</v>
      </c>
      <c r="C72" s="12">
        <v>2</v>
      </c>
      <c r="D72" s="8">
        <v>1.89</v>
      </c>
      <c r="E72" s="12">
        <v>2</v>
      </c>
      <c r="F72" s="8">
        <v>2.86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ACC4-9903-4B28-BF51-96AFB61ABAF3}">
  <sheetPr>
    <pageSetUpPr fitToPage="1"/>
  </sheetPr>
  <dimension ref="B2:I6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5</v>
      </c>
      <c r="D6" s="8">
        <v>16.13</v>
      </c>
      <c r="E6" s="12">
        <v>4</v>
      </c>
      <c r="F6" s="8">
        <v>21.05</v>
      </c>
      <c r="G6" s="12">
        <v>1</v>
      </c>
      <c r="H6" s="8">
        <v>11.11</v>
      </c>
      <c r="I6" s="12">
        <v>0</v>
      </c>
    </row>
    <row r="7" spans="2:9" ht="15" customHeight="1" x14ac:dyDescent="0.2">
      <c r="B7" t="s">
        <v>53</v>
      </c>
      <c r="C7" s="12">
        <v>2</v>
      </c>
      <c r="D7" s="8">
        <v>6.45</v>
      </c>
      <c r="E7" s="12">
        <v>2</v>
      </c>
      <c r="F7" s="8">
        <v>10.53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8</v>
      </c>
      <c r="D11" s="8">
        <v>25.81</v>
      </c>
      <c r="E11" s="12">
        <v>5</v>
      </c>
      <c r="F11" s="8">
        <v>26.32</v>
      </c>
      <c r="G11" s="12">
        <v>3</v>
      </c>
      <c r="H11" s="8">
        <v>33.33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2</v>
      </c>
      <c r="D13" s="8">
        <v>6.45</v>
      </c>
      <c r="E13" s="12">
        <v>0</v>
      </c>
      <c r="F13" s="8">
        <v>0</v>
      </c>
      <c r="G13" s="12">
        <v>2</v>
      </c>
      <c r="H13" s="8">
        <v>22.22</v>
      </c>
      <c r="I13" s="12">
        <v>0</v>
      </c>
    </row>
    <row r="14" spans="2:9" ht="15" customHeight="1" x14ac:dyDescent="0.2">
      <c r="B14" t="s">
        <v>60</v>
      </c>
      <c r="C14" s="12">
        <v>4</v>
      </c>
      <c r="D14" s="8">
        <v>12.9</v>
      </c>
      <c r="E14" s="12">
        <v>0</v>
      </c>
      <c r="F14" s="8">
        <v>0</v>
      </c>
      <c r="G14" s="12">
        <v>2</v>
      </c>
      <c r="H14" s="8">
        <v>22.22</v>
      </c>
      <c r="I14" s="12">
        <v>0</v>
      </c>
    </row>
    <row r="15" spans="2:9" ht="15" customHeight="1" x14ac:dyDescent="0.2">
      <c r="B15" t="s">
        <v>61</v>
      </c>
      <c r="C15" s="12">
        <v>6</v>
      </c>
      <c r="D15" s="8">
        <v>19.350000000000001</v>
      </c>
      <c r="E15" s="12">
        <v>5</v>
      </c>
      <c r="F15" s="8">
        <v>26.32</v>
      </c>
      <c r="G15" s="12">
        <v>1</v>
      </c>
      <c r="H15" s="8">
        <v>11.11</v>
      </c>
      <c r="I15" s="12">
        <v>0</v>
      </c>
    </row>
    <row r="16" spans="2:9" ht="15" customHeight="1" x14ac:dyDescent="0.2">
      <c r="B16" t="s">
        <v>62</v>
      </c>
      <c r="C16" s="12">
        <v>3</v>
      </c>
      <c r="D16" s="8">
        <v>9.68</v>
      </c>
      <c r="E16" s="12">
        <v>3</v>
      </c>
      <c r="F16" s="8">
        <v>15.79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1</v>
      </c>
      <c r="D19" s="8">
        <v>3.23</v>
      </c>
      <c r="E19" s="12">
        <v>0</v>
      </c>
      <c r="F19" s="8">
        <v>0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281</v>
      </c>
      <c r="C20" s="12">
        <f>SUM(LTBL_43511[総数／事業所数])</f>
        <v>31</v>
      </c>
      <c r="E20" s="12">
        <f>SUBTOTAL(109,LTBL_43511[個人／事業所数])</f>
        <v>19</v>
      </c>
      <c r="G20" s="12">
        <f>SUBTOTAL(109,LTBL_43511[法人／事業所数])</f>
        <v>9</v>
      </c>
      <c r="I20" s="12">
        <f>SUBTOTAL(109,LTBL_43511[法人以外の団体／事業所数])</f>
        <v>1</v>
      </c>
    </row>
    <row r="21" spans="2:9" ht="15" customHeight="1" x14ac:dyDescent="0.2">
      <c r="E21" s="11">
        <f>LTBL_43511[[#Totals],[個人／事業所数]]/LTBL_43511[[#Totals],[総数／事業所数]]</f>
        <v>0.61290322580645162</v>
      </c>
      <c r="G21" s="11">
        <f>LTBL_43511[[#Totals],[法人／事業所数]]/LTBL_43511[[#Totals],[総数／事業所数]]</f>
        <v>0.29032258064516131</v>
      </c>
      <c r="I21" s="11">
        <f>LTBL_43511[[#Totals],[法人以外の団体／事業所数]]/LTBL_43511[[#Totals],[総数／事業所数]]</f>
        <v>3.2258064516129031E-2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81</v>
      </c>
      <c r="C24" s="12">
        <v>5</v>
      </c>
      <c r="D24" s="8">
        <v>16.13</v>
      </c>
      <c r="E24" s="12">
        <v>3</v>
      </c>
      <c r="F24" s="8">
        <v>15.79</v>
      </c>
      <c r="G24" s="12">
        <v>2</v>
      </c>
      <c r="H24" s="8">
        <v>22.22</v>
      </c>
      <c r="I24" s="12">
        <v>0</v>
      </c>
    </row>
    <row r="25" spans="2:9" ht="15" customHeight="1" x14ac:dyDescent="0.2">
      <c r="B25" t="s">
        <v>74</v>
      </c>
      <c r="C25" s="12">
        <v>4</v>
      </c>
      <c r="D25" s="8">
        <v>12.9</v>
      </c>
      <c r="E25" s="12">
        <v>3</v>
      </c>
      <c r="F25" s="8">
        <v>15.79</v>
      </c>
      <c r="G25" s="12">
        <v>1</v>
      </c>
      <c r="H25" s="8">
        <v>11.11</v>
      </c>
      <c r="I25" s="12">
        <v>0</v>
      </c>
    </row>
    <row r="26" spans="2:9" ht="15" customHeight="1" x14ac:dyDescent="0.2">
      <c r="B26" t="s">
        <v>87</v>
      </c>
      <c r="C26" s="12">
        <v>3</v>
      </c>
      <c r="D26" s="8">
        <v>9.68</v>
      </c>
      <c r="E26" s="12">
        <v>0</v>
      </c>
      <c r="F26" s="8">
        <v>0</v>
      </c>
      <c r="G26" s="12">
        <v>1</v>
      </c>
      <c r="H26" s="8">
        <v>11.11</v>
      </c>
      <c r="I26" s="12">
        <v>0</v>
      </c>
    </row>
    <row r="27" spans="2:9" ht="15" customHeight="1" x14ac:dyDescent="0.2">
      <c r="B27" t="s">
        <v>106</v>
      </c>
      <c r="C27" s="12">
        <v>3</v>
      </c>
      <c r="D27" s="8">
        <v>9.68</v>
      </c>
      <c r="E27" s="12">
        <v>3</v>
      </c>
      <c r="F27" s="8">
        <v>15.79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88</v>
      </c>
      <c r="C28" s="12">
        <v>3</v>
      </c>
      <c r="D28" s="8">
        <v>9.68</v>
      </c>
      <c r="E28" s="12">
        <v>2</v>
      </c>
      <c r="F28" s="8">
        <v>10.53</v>
      </c>
      <c r="G28" s="12">
        <v>1</v>
      </c>
      <c r="H28" s="8">
        <v>11.11</v>
      </c>
      <c r="I28" s="12">
        <v>0</v>
      </c>
    </row>
    <row r="29" spans="2:9" ht="15" customHeight="1" x14ac:dyDescent="0.2">
      <c r="B29" t="s">
        <v>89</v>
      </c>
      <c r="C29" s="12">
        <v>3</v>
      </c>
      <c r="D29" s="8">
        <v>9.68</v>
      </c>
      <c r="E29" s="12">
        <v>3</v>
      </c>
      <c r="F29" s="8">
        <v>15.79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85</v>
      </c>
      <c r="C30" s="12">
        <v>2</v>
      </c>
      <c r="D30" s="8">
        <v>6.45</v>
      </c>
      <c r="E30" s="12">
        <v>0</v>
      </c>
      <c r="F30" s="8">
        <v>0</v>
      </c>
      <c r="G30" s="12">
        <v>2</v>
      </c>
      <c r="H30" s="8">
        <v>22.22</v>
      </c>
      <c r="I30" s="12">
        <v>0</v>
      </c>
    </row>
    <row r="31" spans="2:9" ht="15" customHeight="1" x14ac:dyDescent="0.2">
      <c r="B31" t="s">
        <v>75</v>
      </c>
      <c r="C31" s="12">
        <v>1</v>
      </c>
      <c r="D31" s="8">
        <v>3.23</v>
      </c>
      <c r="E31" s="12">
        <v>1</v>
      </c>
      <c r="F31" s="8">
        <v>5.26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77</v>
      </c>
      <c r="C32" s="12">
        <v>1</v>
      </c>
      <c r="D32" s="8">
        <v>3.23</v>
      </c>
      <c r="E32" s="12">
        <v>1</v>
      </c>
      <c r="F32" s="8">
        <v>5.26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108</v>
      </c>
      <c r="C33" s="12">
        <v>1</v>
      </c>
      <c r="D33" s="8">
        <v>3.23</v>
      </c>
      <c r="E33" s="12">
        <v>1</v>
      </c>
      <c r="F33" s="8">
        <v>5.26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78</v>
      </c>
      <c r="C34" s="12">
        <v>1</v>
      </c>
      <c r="D34" s="8">
        <v>3.23</v>
      </c>
      <c r="E34" s="12">
        <v>1</v>
      </c>
      <c r="F34" s="8">
        <v>5.26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82</v>
      </c>
      <c r="C35" s="12">
        <v>1</v>
      </c>
      <c r="D35" s="8">
        <v>3.23</v>
      </c>
      <c r="E35" s="12">
        <v>1</v>
      </c>
      <c r="F35" s="8">
        <v>5.26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83</v>
      </c>
      <c r="C36" s="12">
        <v>1</v>
      </c>
      <c r="D36" s="8">
        <v>3.23</v>
      </c>
      <c r="E36" s="12">
        <v>0</v>
      </c>
      <c r="F36" s="8">
        <v>0</v>
      </c>
      <c r="G36" s="12">
        <v>1</v>
      </c>
      <c r="H36" s="8">
        <v>11.11</v>
      </c>
      <c r="I36" s="12">
        <v>0</v>
      </c>
    </row>
    <row r="37" spans="2:9" ht="15" customHeight="1" x14ac:dyDescent="0.2">
      <c r="B37" t="s">
        <v>86</v>
      </c>
      <c r="C37" s="12">
        <v>1</v>
      </c>
      <c r="D37" s="8">
        <v>3.23</v>
      </c>
      <c r="E37" s="12">
        <v>0</v>
      </c>
      <c r="F37" s="8">
        <v>0</v>
      </c>
      <c r="G37" s="12">
        <v>1</v>
      </c>
      <c r="H37" s="8">
        <v>11.11</v>
      </c>
      <c r="I37" s="12">
        <v>0</v>
      </c>
    </row>
    <row r="38" spans="2:9" ht="15" customHeight="1" x14ac:dyDescent="0.2">
      <c r="B38" t="s">
        <v>120</v>
      </c>
      <c r="C38" s="12">
        <v>1</v>
      </c>
      <c r="D38" s="8">
        <v>3.23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41" spans="2:9" ht="33" customHeight="1" x14ac:dyDescent="0.2">
      <c r="B41" t="s">
        <v>283</v>
      </c>
      <c r="C41" s="10" t="s">
        <v>67</v>
      </c>
      <c r="D41" s="10" t="s">
        <v>68</v>
      </c>
      <c r="E41" s="10" t="s">
        <v>69</v>
      </c>
      <c r="F41" s="10" t="s">
        <v>70</v>
      </c>
      <c r="G41" s="10" t="s">
        <v>71</v>
      </c>
      <c r="H41" s="10" t="s">
        <v>72</v>
      </c>
      <c r="I41" s="10" t="s">
        <v>73</v>
      </c>
    </row>
    <row r="42" spans="2:9" ht="15" customHeight="1" x14ac:dyDescent="0.2">
      <c r="B42" t="s">
        <v>135</v>
      </c>
      <c r="C42" s="12">
        <v>3</v>
      </c>
      <c r="D42" s="8">
        <v>9.68</v>
      </c>
      <c r="E42" s="12">
        <v>2</v>
      </c>
      <c r="F42" s="8">
        <v>10.53</v>
      </c>
      <c r="G42" s="12">
        <v>1</v>
      </c>
      <c r="H42" s="8">
        <v>11.11</v>
      </c>
      <c r="I42" s="12">
        <v>0</v>
      </c>
    </row>
    <row r="43" spans="2:9" ht="15" customHeight="1" x14ac:dyDescent="0.2">
      <c r="B43" t="s">
        <v>201</v>
      </c>
      <c r="C43" s="12">
        <v>3</v>
      </c>
      <c r="D43" s="8">
        <v>9.68</v>
      </c>
      <c r="E43" s="12">
        <v>2</v>
      </c>
      <c r="F43" s="8">
        <v>10.53</v>
      </c>
      <c r="G43" s="12">
        <v>1</v>
      </c>
      <c r="H43" s="8">
        <v>11.11</v>
      </c>
      <c r="I43" s="12">
        <v>0</v>
      </c>
    </row>
    <row r="44" spans="2:9" ht="15" customHeight="1" x14ac:dyDescent="0.2">
      <c r="B44" t="s">
        <v>146</v>
      </c>
      <c r="C44" s="12">
        <v>3</v>
      </c>
      <c r="D44" s="8">
        <v>9.68</v>
      </c>
      <c r="E44" s="12">
        <v>0</v>
      </c>
      <c r="F44" s="8">
        <v>0</v>
      </c>
      <c r="G44" s="12">
        <v>1</v>
      </c>
      <c r="H44" s="8">
        <v>11.11</v>
      </c>
      <c r="I44" s="12">
        <v>0</v>
      </c>
    </row>
    <row r="45" spans="2:9" ht="15" customHeight="1" x14ac:dyDescent="0.2">
      <c r="B45" t="s">
        <v>181</v>
      </c>
      <c r="C45" s="12">
        <v>3</v>
      </c>
      <c r="D45" s="8">
        <v>9.68</v>
      </c>
      <c r="E45" s="12">
        <v>3</v>
      </c>
      <c r="F45" s="8">
        <v>15.79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140</v>
      </c>
      <c r="C46" s="12">
        <v>2</v>
      </c>
      <c r="D46" s="8">
        <v>6.45</v>
      </c>
      <c r="E46" s="12">
        <v>1</v>
      </c>
      <c r="F46" s="8">
        <v>5.26</v>
      </c>
      <c r="G46" s="12">
        <v>1</v>
      </c>
      <c r="H46" s="8">
        <v>11.11</v>
      </c>
      <c r="I46" s="12">
        <v>0</v>
      </c>
    </row>
    <row r="47" spans="2:9" ht="15" customHeight="1" x14ac:dyDescent="0.2">
      <c r="B47" t="s">
        <v>150</v>
      </c>
      <c r="C47" s="12">
        <v>2</v>
      </c>
      <c r="D47" s="8">
        <v>6.45</v>
      </c>
      <c r="E47" s="12">
        <v>2</v>
      </c>
      <c r="F47" s="8">
        <v>10.53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137</v>
      </c>
      <c r="C48" s="12">
        <v>1</v>
      </c>
      <c r="D48" s="8">
        <v>3.23</v>
      </c>
      <c r="E48" s="12">
        <v>1</v>
      </c>
      <c r="F48" s="8">
        <v>5.26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184</v>
      </c>
      <c r="C49" s="12">
        <v>1</v>
      </c>
      <c r="D49" s="8">
        <v>3.23</v>
      </c>
      <c r="E49" s="12">
        <v>1</v>
      </c>
      <c r="F49" s="8">
        <v>5.26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213</v>
      </c>
      <c r="C50" s="12">
        <v>1</v>
      </c>
      <c r="D50" s="8">
        <v>3.23</v>
      </c>
      <c r="E50" s="12">
        <v>1</v>
      </c>
      <c r="F50" s="8">
        <v>5.26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185</v>
      </c>
      <c r="C51" s="12">
        <v>1</v>
      </c>
      <c r="D51" s="8">
        <v>3.23</v>
      </c>
      <c r="E51" s="12">
        <v>1</v>
      </c>
      <c r="F51" s="8">
        <v>5.26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165</v>
      </c>
      <c r="C52" s="12">
        <v>1</v>
      </c>
      <c r="D52" s="8">
        <v>3.23</v>
      </c>
      <c r="E52" s="12">
        <v>1</v>
      </c>
      <c r="F52" s="8">
        <v>5.26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1</v>
      </c>
      <c r="D53" s="8">
        <v>3.23</v>
      </c>
      <c r="E53" s="12">
        <v>1</v>
      </c>
      <c r="F53" s="8">
        <v>5.26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168</v>
      </c>
      <c r="C54" s="12">
        <v>1</v>
      </c>
      <c r="D54" s="8">
        <v>3.23</v>
      </c>
      <c r="E54" s="12">
        <v>0</v>
      </c>
      <c r="F54" s="8">
        <v>0</v>
      </c>
      <c r="G54" s="12">
        <v>1</v>
      </c>
      <c r="H54" s="8">
        <v>11.11</v>
      </c>
      <c r="I54" s="12">
        <v>0</v>
      </c>
    </row>
    <row r="55" spans="2:9" ht="15" customHeight="1" x14ac:dyDescent="0.2">
      <c r="B55" t="s">
        <v>145</v>
      </c>
      <c r="C55" s="12">
        <v>1</v>
      </c>
      <c r="D55" s="8">
        <v>3.23</v>
      </c>
      <c r="E55" s="12">
        <v>0</v>
      </c>
      <c r="F55" s="8">
        <v>0</v>
      </c>
      <c r="G55" s="12">
        <v>1</v>
      </c>
      <c r="H55" s="8">
        <v>11.11</v>
      </c>
      <c r="I55" s="12">
        <v>0</v>
      </c>
    </row>
    <row r="56" spans="2:9" ht="15" customHeight="1" x14ac:dyDescent="0.2">
      <c r="B56" t="s">
        <v>157</v>
      </c>
      <c r="C56" s="12">
        <v>1</v>
      </c>
      <c r="D56" s="8">
        <v>3.23</v>
      </c>
      <c r="E56" s="12">
        <v>0</v>
      </c>
      <c r="F56" s="8">
        <v>0</v>
      </c>
      <c r="G56" s="12">
        <v>1</v>
      </c>
      <c r="H56" s="8">
        <v>11.11</v>
      </c>
      <c r="I56" s="12">
        <v>0</v>
      </c>
    </row>
    <row r="57" spans="2:9" ht="15" customHeight="1" x14ac:dyDescent="0.2">
      <c r="B57" t="s">
        <v>251</v>
      </c>
      <c r="C57" s="12">
        <v>1</v>
      </c>
      <c r="D57" s="8">
        <v>3.23</v>
      </c>
      <c r="E57" s="12">
        <v>0</v>
      </c>
      <c r="F57" s="8">
        <v>0</v>
      </c>
      <c r="G57" s="12">
        <v>1</v>
      </c>
      <c r="H57" s="8">
        <v>11.11</v>
      </c>
      <c r="I57" s="12">
        <v>0</v>
      </c>
    </row>
    <row r="58" spans="2:9" ht="15" customHeight="1" x14ac:dyDescent="0.2">
      <c r="B58" t="s">
        <v>209</v>
      </c>
      <c r="C58" s="12">
        <v>1</v>
      </c>
      <c r="D58" s="8">
        <v>3.23</v>
      </c>
      <c r="E58" s="12">
        <v>1</v>
      </c>
      <c r="F58" s="8">
        <v>5.26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148</v>
      </c>
      <c r="C59" s="12">
        <v>1</v>
      </c>
      <c r="D59" s="8">
        <v>3.23</v>
      </c>
      <c r="E59" s="12">
        <v>1</v>
      </c>
      <c r="F59" s="8">
        <v>5.26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159</v>
      </c>
      <c r="C60" s="12">
        <v>1</v>
      </c>
      <c r="D60" s="8">
        <v>3.23</v>
      </c>
      <c r="E60" s="12">
        <v>0</v>
      </c>
      <c r="F60" s="8">
        <v>0</v>
      </c>
      <c r="G60" s="12">
        <v>1</v>
      </c>
      <c r="H60" s="8">
        <v>11.11</v>
      </c>
      <c r="I60" s="12">
        <v>0</v>
      </c>
    </row>
    <row r="61" spans="2:9" ht="15" customHeight="1" x14ac:dyDescent="0.2">
      <c r="B61" t="s">
        <v>151</v>
      </c>
      <c r="C61" s="12">
        <v>1</v>
      </c>
      <c r="D61" s="8">
        <v>3.23</v>
      </c>
      <c r="E61" s="12">
        <v>1</v>
      </c>
      <c r="F61" s="8">
        <v>5.26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268</v>
      </c>
      <c r="C62" s="12">
        <v>1</v>
      </c>
      <c r="D62" s="8">
        <v>3.23</v>
      </c>
      <c r="E62" s="12">
        <v>0</v>
      </c>
      <c r="F62" s="8">
        <v>0</v>
      </c>
      <c r="G62" s="12">
        <v>0</v>
      </c>
      <c r="H62" s="8">
        <v>0</v>
      </c>
      <c r="I62" s="12">
        <v>1</v>
      </c>
    </row>
    <row r="64" spans="2:9" ht="15" customHeight="1" x14ac:dyDescent="0.2">
      <c r="B64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FF24-4357-4F04-ACC9-1085ACC205AA}">
  <sheetPr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16</v>
      </c>
      <c r="D6" s="8">
        <v>32</v>
      </c>
      <c r="E6" s="12">
        <v>12</v>
      </c>
      <c r="F6" s="8">
        <v>32.43</v>
      </c>
      <c r="G6" s="12">
        <v>4</v>
      </c>
      <c r="H6" s="8">
        <v>36.36</v>
      </c>
      <c r="I6" s="12">
        <v>0</v>
      </c>
    </row>
    <row r="7" spans="2:9" ht="15" customHeight="1" x14ac:dyDescent="0.2">
      <c r="B7" t="s">
        <v>53</v>
      </c>
      <c r="C7" s="12">
        <v>5</v>
      </c>
      <c r="D7" s="8">
        <v>10</v>
      </c>
      <c r="E7" s="12">
        <v>4</v>
      </c>
      <c r="F7" s="8">
        <v>10.81</v>
      </c>
      <c r="G7" s="12">
        <v>1</v>
      </c>
      <c r="H7" s="8">
        <v>9.09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6</v>
      </c>
      <c r="E10" s="12">
        <v>2</v>
      </c>
      <c r="F10" s="8">
        <v>5.41</v>
      </c>
      <c r="G10" s="12">
        <v>1</v>
      </c>
      <c r="H10" s="8">
        <v>9.09</v>
      </c>
      <c r="I10" s="12">
        <v>0</v>
      </c>
    </row>
    <row r="11" spans="2:9" ht="15" customHeight="1" x14ac:dyDescent="0.2">
      <c r="B11" t="s">
        <v>57</v>
      </c>
      <c r="C11" s="12">
        <v>10</v>
      </c>
      <c r="D11" s="8">
        <v>20</v>
      </c>
      <c r="E11" s="12">
        <v>6</v>
      </c>
      <c r="F11" s="8">
        <v>16.22</v>
      </c>
      <c r="G11" s="12">
        <v>4</v>
      </c>
      <c r="H11" s="8">
        <v>36.36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</v>
      </c>
      <c r="D13" s="8">
        <v>2</v>
      </c>
      <c r="E13" s="12">
        <v>1</v>
      </c>
      <c r="F13" s="8">
        <v>2.7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60</v>
      </c>
      <c r="C14" s="12">
        <v>2</v>
      </c>
      <c r="D14" s="8">
        <v>4</v>
      </c>
      <c r="E14" s="12">
        <v>1</v>
      </c>
      <c r="F14" s="8">
        <v>2.7</v>
      </c>
      <c r="G14" s="12">
        <v>1</v>
      </c>
      <c r="H14" s="8">
        <v>9.09</v>
      </c>
      <c r="I14" s="12">
        <v>0</v>
      </c>
    </row>
    <row r="15" spans="2:9" ht="15" customHeight="1" x14ac:dyDescent="0.2">
      <c r="B15" t="s">
        <v>61</v>
      </c>
      <c r="C15" s="12">
        <v>2</v>
      </c>
      <c r="D15" s="8">
        <v>4</v>
      </c>
      <c r="E15" s="12">
        <v>2</v>
      </c>
      <c r="F15" s="8">
        <v>5.41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62</v>
      </c>
      <c r="C16" s="12">
        <v>6</v>
      </c>
      <c r="D16" s="8">
        <v>12</v>
      </c>
      <c r="E16" s="12">
        <v>6</v>
      </c>
      <c r="F16" s="8">
        <v>16.22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63</v>
      </c>
      <c r="C17" s="12">
        <v>1</v>
      </c>
      <c r="D17" s="8">
        <v>2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1</v>
      </c>
      <c r="D18" s="8">
        <v>2</v>
      </c>
      <c r="E18" s="12">
        <v>1</v>
      </c>
      <c r="F18" s="8">
        <v>2.7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2</v>
      </c>
      <c r="D19" s="8">
        <v>4</v>
      </c>
      <c r="E19" s="12">
        <v>2</v>
      </c>
      <c r="F19" s="8">
        <v>5.41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281</v>
      </c>
      <c r="C20" s="12">
        <f>SUM(LTBL_43512[総数／事業所数])</f>
        <v>50</v>
      </c>
      <c r="E20" s="12">
        <f>SUBTOTAL(109,LTBL_43512[個人／事業所数])</f>
        <v>37</v>
      </c>
      <c r="G20" s="12">
        <f>SUBTOTAL(109,LTBL_43512[法人／事業所数])</f>
        <v>11</v>
      </c>
      <c r="I20" s="12">
        <f>SUBTOTAL(109,LTBL_43512[法人以外の団体／事業所数])</f>
        <v>0</v>
      </c>
    </row>
    <row r="21" spans="2:9" ht="15" customHeight="1" x14ac:dyDescent="0.2">
      <c r="E21" s="11">
        <f>LTBL_43512[[#Totals],[個人／事業所数]]/LTBL_43512[[#Totals],[総数／事業所数]]</f>
        <v>0.74</v>
      </c>
      <c r="G21" s="11">
        <f>LTBL_43512[[#Totals],[法人／事業所数]]/LTBL_43512[[#Totals],[総数／事業所数]]</f>
        <v>0.22</v>
      </c>
      <c r="I21" s="11">
        <f>LTBL_43512[[#Totals],[法人以外の団体／事業所数]]/LTBL_43512[[#Totals],[総数／事業所数]]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8</v>
      </c>
      <c r="D24" s="8">
        <v>16</v>
      </c>
      <c r="E24" s="12">
        <v>5</v>
      </c>
      <c r="F24" s="8">
        <v>13.51</v>
      </c>
      <c r="G24" s="12">
        <v>3</v>
      </c>
      <c r="H24" s="8">
        <v>27.27</v>
      </c>
      <c r="I24" s="12">
        <v>0</v>
      </c>
    </row>
    <row r="25" spans="2:9" ht="15" customHeight="1" x14ac:dyDescent="0.2">
      <c r="B25" t="s">
        <v>89</v>
      </c>
      <c r="C25" s="12">
        <v>6</v>
      </c>
      <c r="D25" s="8">
        <v>12</v>
      </c>
      <c r="E25" s="12">
        <v>6</v>
      </c>
      <c r="F25" s="8">
        <v>16.22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75</v>
      </c>
      <c r="C26" s="12">
        <v>4</v>
      </c>
      <c r="D26" s="8">
        <v>8</v>
      </c>
      <c r="E26" s="12">
        <v>4</v>
      </c>
      <c r="F26" s="8">
        <v>10.81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76</v>
      </c>
      <c r="C27" s="12">
        <v>4</v>
      </c>
      <c r="D27" s="8">
        <v>8</v>
      </c>
      <c r="E27" s="12">
        <v>3</v>
      </c>
      <c r="F27" s="8">
        <v>8.11</v>
      </c>
      <c r="G27" s="12">
        <v>1</v>
      </c>
      <c r="H27" s="8">
        <v>9.09</v>
      </c>
      <c r="I27" s="12">
        <v>0</v>
      </c>
    </row>
    <row r="28" spans="2:9" ht="15" customHeight="1" x14ac:dyDescent="0.2">
      <c r="B28" t="s">
        <v>83</v>
      </c>
      <c r="C28" s="12">
        <v>4</v>
      </c>
      <c r="D28" s="8">
        <v>8</v>
      </c>
      <c r="E28" s="12">
        <v>1</v>
      </c>
      <c r="F28" s="8">
        <v>2.7</v>
      </c>
      <c r="G28" s="12">
        <v>3</v>
      </c>
      <c r="H28" s="8">
        <v>27.27</v>
      </c>
      <c r="I28" s="12">
        <v>0</v>
      </c>
    </row>
    <row r="29" spans="2:9" ht="15" customHeight="1" x14ac:dyDescent="0.2">
      <c r="B29" t="s">
        <v>81</v>
      </c>
      <c r="C29" s="12">
        <v>2</v>
      </c>
      <c r="D29" s="8">
        <v>4</v>
      </c>
      <c r="E29" s="12">
        <v>2</v>
      </c>
      <c r="F29" s="8">
        <v>5.41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82</v>
      </c>
      <c r="C30" s="12">
        <v>2</v>
      </c>
      <c r="D30" s="8">
        <v>4</v>
      </c>
      <c r="E30" s="12">
        <v>2</v>
      </c>
      <c r="F30" s="8">
        <v>5.41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86</v>
      </c>
      <c r="C31" s="12">
        <v>2</v>
      </c>
      <c r="D31" s="8">
        <v>4</v>
      </c>
      <c r="E31" s="12">
        <v>1</v>
      </c>
      <c r="F31" s="8">
        <v>2.7</v>
      </c>
      <c r="G31" s="12">
        <v>1</v>
      </c>
      <c r="H31" s="8">
        <v>9.09</v>
      </c>
      <c r="I31" s="12">
        <v>0</v>
      </c>
    </row>
    <row r="32" spans="2:9" ht="15" customHeight="1" x14ac:dyDescent="0.2">
      <c r="B32" t="s">
        <v>93</v>
      </c>
      <c r="C32" s="12">
        <v>2</v>
      </c>
      <c r="D32" s="8">
        <v>4</v>
      </c>
      <c r="E32" s="12">
        <v>2</v>
      </c>
      <c r="F32" s="8">
        <v>5.41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77</v>
      </c>
      <c r="C33" s="12">
        <v>1</v>
      </c>
      <c r="D33" s="8">
        <v>2</v>
      </c>
      <c r="E33" s="12">
        <v>1</v>
      </c>
      <c r="F33" s="8">
        <v>2.7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108</v>
      </c>
      <c r="C34" s="12">
        <v>1</v>
      </c>
      <c r="D34" s="8">
        <v>2</v>
      </c>
      <c r="E34" s="12">
        <v>0</v>
      </c>
      <c r="F34" s="8">
        <v>0</v>
      </c>
      <c r="G34" s="12">
        <v>1</v>
      </c>
      <c r="H34" s="8">
        <v>9.09</v>
      </c>
      <c r="I34" s="12">
        <v>0</v>
      </c>
    </row>
    <row r="35" spans="2:9" ht="15" customHeight="1" x14ac:dyDescent="0.2">
      <c r="B35" t="s">
        <v>103</v>
      </c>
      <c r="C35" s="12">
        <v>1</v>
      </c>
      <c r="D35" s="8">
        <v>2</v>
      </c>
      <c r="E35" s="12">
        <v>1</v>
      </c>
      <c r="F35" s="8">
        <v>2.7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109</v>
      </c>
      <c r="C36" s="12">
        <v>1</v>
      </c>
      <c r="D36" s="8">
        <v>2</v>
      </c>
      <c r="E36" s="12">
        <v>1</v>
      </c>
      <c r="F36" s="8">
        <v>2.7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111</v>
      </c>
      <c r="C37" s="12">
        <v>1</v>
      </c>
      <c r="D37" s="8">
        <v>2</v>
      </c>
      <c r="E37" s="12">
        <v>1</v>
      </c>
      <c r="F37" s="8">
        <v>2.7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113</v>
      </c>
      <c r="C38" s="12">
        <v>1</v>
      </c>
      <c r="D38" s="8">
        <v>2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127</v>
      </c>
      <c r="C39" s="12">
        <v>1</v>
      </c>
      <c r="D39" s="8">
        <v>2</v>
      </c>
      <c r="E39" s="12">
        <v>0</v>
      </c>
      <c r="F39" s="8">
        <v>0</v>
      </c>
      <c r="G39" s="12">
        <v>1</v>
      </c>
      <c r="H39" s="8">
        <v>9.09</v>
      </c>
      <c r="I39" s="12">
        <v>0</v>
      </c>
    </row>
    <row r="40" spans="2:9" ht="15" customHeight="1" x14ac:dyDescent="0.2">
      <c r="B40" t="s">
        <v>114</v>
      </c>
      <c r="C40" s="12">
        <v>1</v>
      </c>
      <c r="D40" s="8">
        <v>2</v>
      </c>
      <c r="E40" s="12">
        <v>1</v>
      </c>
      <c r="F40" s="8">
        <v>2.7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123</v>
      </c>
      <c r="C41" s="12">
        <v>1</v>
      </c>
      <c r="D41" s="8">
        <v>2</v>
      </c>
      <c r="E41" s="12">
        <v>1</v>
      </c>
      <c r="F41" s="8">
        <v>2.7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79</v>
      </c>
      <c r="C42" s="12">
        <v>1</v>
      </c>
      <c r="D42" s="8">
        <v>2</v>
      </c>
      <c r="E42" s="12">
        <v>0</v>
      </c>
      <c r="F42" s="8">
        <v>0</v>
      </c>
      <c r="G42" s="12">
        <v>1</v>
      </c>
      <c r="H42" s="8">
        <v>9.09</v>
      </c>
      <c r="I42" s="12">
        <v>0</v>
      </c>
    </row>
    <row r="43" spans="2:9" ht="15" customHeight="1" x14ac:dyDescent="0.2">
      <c r="B43" t="s">
        <v>80</v>
      </c>
      <c r="C43" s="12">
        <v>1</v>
      </c>
      <c r="D43" s="8">
        <v>2</v>
      </c>
      <c r="E43" s="12">
        <v>1</v>
      </c>
      <c r="F43" s="8">
        <v>2.7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85</v>
      </c>
      <c r="C44" s="12">
        <v>1</v>
      </c>
      <c r="D44" s="8">
        <v>2</v>
      </c>
      <c r="E44" s="12">
        <v>1</v>
      </c>
      <c r="F44" s="8">
        <v>2.7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106</v>
      </c>
      <c r="C45" s="12">
        <v>1</v>
      </c>
      <c r="D45" s="8">
        <v>2</v>
      </c>
      <c r="E45" s="12">
        <v>1</v>
      </c>
      <c r="F45" s="8">
        <v>2.7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88</v>
      </c>
      <c r="C46" s="12">
        <v>1</v>
      </c>
      <c r="D46" s="8">
        <v>2</v>
      </c>
      <c r="E46" s="12">
        <v>1</v>
      </c>
      <c r="F46" s="8">
        <v>2.7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90</v>
      </c>
      <c r="C47" s="12">
        <v>1</v>
      </c>
      <c r="D47" s="8">
        <v>2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91</v>
      </c>
      <c r="C48" s="12">
        <v>1</v>
      </c>
      <c r="D48" s="8">
        <v>2</v>
      </c>
      <c r="E48" s="12">
        <v>1</v>
      </c>
      <c r="F48" s="8">
        <v>2.7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283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2">
      <c r="B52" t="s">
        <v>137</v>
      </c>
      <c r="C52" s="12">
        <v>4</v>
      </c>
      <c r="D52" s="8">
        <v>8</v>
      </c>
      <c r="E52" s="12">
        <v>4</v>
      </c>
      <c r="F52" s="8">
        <v>10.81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151</v>
      </c>
      <c r="C53" s="12">
        <v>4</v>
      </c>
      <c r="D53" s="8">
        <v>8</v>
      </c>
      <c r="E53" s="12">
        <v>4</v>
      </c>
      <c r="F53" s="8">
        <v>10.81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168</v>
      </c>
      <c r="C54" s="12">
        <v>3</v>
      </c>
      <c r="D54" s="8">
        <v>6</v>
      </c>
      <c r="E54" s="12">
        <v>0</v>
      </c>
      <c r="F54" s="8">
        <v>0</v>
      </c>
      <c r="G54" s="12">
        <v>3</v>
      </c>
      <c r="H54" s="8">
        <v>27.27</v>
      </c>
      <c r="I54" s="12">
        <v>0</v>
      </c>
    </row>
    <row r="55" spans="2:9" ht="15" customHeight="1" x14ac:dyDescent="0.2">
      <c r="B55" t="s">
        <v>136</v>
      </c>
      <c r="C55" s="12">
        <v>2</v>
      </c>
      <c r="D55" s="8">
        <v>4</v>
      </c>
      <c r="E55" s="12">
        <v>1</v>
      </c>
      <c r="F55" s="8">
        <v>2.7</v>
      </c>
      <c r="G55" s="12">
        <v>1</v>
      </c>
      <c r="H55" s="8">
        <v>9.09</v>
      </c>
      <c r="I55" s="12">
        <v>0</v>
      </c>
    </row>
    <row r="56" spans="2:9" ht="15" customHeight="1" x14ac:dyDescent="0.2">
      <c r="B56" t="s">
        <v>175</v>
      </c>
      <c r="C56" s="12">
        <v>2</v>
      </c>
      <c r="D56" s="8">
        <v>4</v>
      </c>
      <c r="E56" s="12">
        <v>2</v>
      </c>
      <c r="F56" s="8">
        <v>5.41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163</v>
      </c>
      <c r="C57" s="12">
        <v>2</v>
      </c>
      <c r="D57" s="8">
        <v>4</v>
      </c>
      <c r="E57" s="12">
        <v>1</v>
      </c>
      <c r="F57" s="8">
        <v>2.7</v>
      </c>
      <c r="G57" s="12">
        <v>1</v>
      </c>
      <c r="H57" s="8">
        <v>9.09</v>
      </c>
      <c r="I57" s="12">
        <v>0</v>
      </c>
    </row>
    <row r="58" spans="2:9" ht="15" customHeight="1" x14ac:dyDescent="0.2">
      <c r="B58" t="s">
        <v>154</v>
      </c>
      <c r="C58" s="12">
        <v>2</v>
      </c>
      <c r="D58" s="8">
        <v>4</v>
      </c>
      <c r="E58" s="12">
        <v>2</v>
      </c>
      <c r="F58" s="8">
        <v>5.41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269</v>
      </c>
      <c r="C59" s="12">
        <v>1</v>
      </c>
      <c r="D59" s="8">
        <v>2</v>
      </c>
      <c r="E59" s="12">
        <v>0</v>
      </c>
      <c r="F59" s="8">
        <v>0</v>
      </c>
      <c r="G59" s="12">
        <v>1</v>
      </c>
      <c r="H59" s="8">
        <v>9.09</v>
      </c>
      <c r="I59" s="12">
        <v>0</v>
      </c>
    </row>
    <row r="60" spans="2:9" ht="15" customHeight="1" x14ac:dyDescent="0.2">
      <c r="B60" t="s">
        <v>135</v>
      </c>
      <c r="C60" s="12">
        <v>1</v>
      </c>
      <c r="D60" s="8">
        <v>2</v>
      </c>
      <c r="E60" s="12">
        <v>0</v>
      </c>
      <c r="F60" s="8">
        <v>0</v>
      </c>
      <c r="G60" s="12">
        <v>1</v>
      </c>
      <c r="H60" s="8">
        <v>9.09</v>
      </c>
      <c r="I60" s="12">
        <v>0</v>
      </c>
    </row>
    <row r="61" spans="2:9" ht="15" customHeight="1" x14ac:dyDescent="0.2">
      <c r="B61" t="s">
        <v>235</v>
      </c>
      <c r="C61" s="12">
        <v>1</v>
      </c>
      <c r="D61" s="8">
        <v>2</v>
      </c>
      <c r="E61" s="12">
        <v>1</v>
      </c>
      <c r="F61" s="8">
        <v>2.7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220</v>
      </c>
      <c r="C62" s="12">
        <v>1</v>
      </c>
      <c r="D62" s="8">
        <v>2</v>
      </c>
      <c r="E62" s="12">
        <v>1</v>
      </c>
      <c r="F62" s="8">
        <v>2.7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138</v>
      </c>
      <c r="C63" s="12">
        <v>1</v>
      </c>
      <c r="D63" s="8">
        <v>2</v>
      </c>
      <c r="E63" s="12">
        <v>1</v>
      </c>
      <c r="F63" s="8">
        <v>2.7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242</v>
      </c>
      <c r="C64" s="12">
        <v>1</v>
      </c>
      <c r="D64" s="8">
        <v>2</v>
      </c>
      <c r="E64" s="12">
        <v>1</v>
      </c>
      <c r="F64" s="8">
        <v>2.7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192</v>
      </c>
      <c r="C65" s="12">
        <v>1</v>
      </c>
      <c r="D65" s="8">
        <v>2</v>
      </c>
      <c r="E65" s="12">
        <v>1</v>
      </c>
      <c r="F65" s="8">
        <v>2.7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224</v>
      </c>
      <c r="C66" s="12">
        <v>1</v>
      </c>
      <c r="D66" s="8">
        <v>2</v>
      </c>
      <c r="E66" s="12">
        <v>0</v>
      </c>
      <c r="F66" s="8">
        <v>0</v>
      </c>
      <c r="G66" s="12">
        <v>1</v>
      </c>
      <c r="H66" s="8">
        <v>9.09</v>
      </c>
      <c r="I66" s="12">
        <v>0</v>
      </c>
    </row>
    <row r="67" spans="2:9" ht="15" customHeight="1" x14ac:dyDescent="0.2">
      <c r="B67" t="s">
        <v>270</v>
      </c>
      <c r="C67" s="12">
        <v>1</v>
      </c>
      <c r="D67" s="8">
        <v>2</v>
      </c>
      <c r="E67" s="12">
        <v>1</v>
      </c>
      <c r="F67" s="8">
        <v>2.7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186</v>
      </c>
      <c r="C68" s="12">
        <v>1</v>
      </c>
      <c r="D68" s="8">
        <v>2</v>
      </c>
      <c r="E68" s="12">
        <v>1</v>
      </c>
      <c r="F68" s="8">
        <v>2.7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194</v>
      </c>
      <c r="C69" s="12">
        <v>1</v>
      </c>
      <c r="D69" s="8">
        <v>2</v>
      </c>
      <c r="E69" s="12">
        <v>1</v>
      </c>
      <c r="F69" s="8">
        <v>2.7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197</v>
      </c>
      <c r="C70" s="12">
        <v>1</v>
      </c>
      <c r="D70" s="8">
        <v>2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271</v>
      </c>
      <c r="C71" s="12">
        <v>1</v>
      </c>
      <c r="D71" s="8">
        <v>2</v>
      </c>
      <c r="E71" s="12">
        <v>0</v>
      </c>
      <c r="F71" s="8">
        <v>0</v>
      </c>
      <c r="G71" s="12">
        <v>1</v>
      </c>
      <c r="H71" s="8">
        <v>9.09</v>
      </c>
      <c r="I71" s="12">
        <v>0</v>
      </c>
    </row>
    <row r="72" spans="2:9" ht="15" customHeight="1" x14ac:dyDescent="0.2">
      <c r="B72" t="s">
        <v>199</v>
      </c>
      <c r="C72" s="12">
        <v>1</v>
      </c>
      <c r="D72" s="8">
        <v>2</v>
      </c>
      <c r="E72" s="12">
        <v>1</v>
      </c>
      <c r="F72" s="8">
        <v>2.7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272</v>
      </c>
      <c r="C73" s="12">
        <v>1</v>
      </c>
      <c r="D73" s="8">
        <v>2</v>
      </c>
      <c r="E73" s="12">
        <v>1</v>
      </c>
      <c r="F73" s="8">
        <v>2.7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217</v>
      </c>
      <c r="C74" s="12">
        <v>1</v>
      </c>
      <c r="D74" s="8">
        <v>2</v>
      </c>
      <c r="E74" s="12">
        <v>0</v>
      </c>
      <c r="F74" s="8">
        <v>0</v>
      </c>
      <c r="G74" s="12">
        <v>1</v>
      </c>
      <c r="H74" s="8">
        <v>9.09</v>
      </c>
      <c r="I74" s="12">
        <v>0</v>
      </c>
    </row>
    <row r="75" spans="2:9" ht="15" customHeight="1" x14ac:dyDescent="0.2">
      <c r="B75" t="s">
        <v>273</v>
      </c>
      <c r="C75" s="12">
        <v>1</v>
      </c>
      <c r="D75" s="8">
        <v>2</v>
      </c>
      <c r="E75" s="12">
        <v>1</v>
      </c>
      <c r="F75" s="8">
        <v>2.7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174</v>
      </c>
      <c r="C76" s="12">
        <v>1</v>
      </c>
      <c r="D76" s="8">
        <v>2</v>
      </c>
      <c r="E76" s="12">
        <v>1</v>
      </c>
      <c r="F76" s="8">
        <v>2.7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166</v>
      </c>
      <c r="C77" s="12">
        <v>1</v>
      </c>
      <c r="D77" s="8">
        <v>2</v>
      </c>
      <c r="E77" s="12">
        <v>1</v>
      </c>
      <c r="F77" s="8">
        <v>2.7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141</v>
      </c>
      <c r="C78" s="12">
        <v>1</v>
      </c>
      <c r="D78" s="8">
        <v>2</v>
      </c>
      <c r="E78" s="12">
        <v>1</v>
      </c>
      <c r="F78" s="8">
        <v>2.7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167</v>
      </c>
      <c r="C79" s="12">
        <v>1</v>
      </c>
      <c r="D79" s="8">
        <v>2</v>
      </c>
      <c r="E79" s="12">
        <v>1</v>
      </c>
      <c r="F79" s="8">
        <v>2.7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202</v>
      </c>
      <c r="C80" s="12">
        <v>1</v>
      </c>
      <c r="D80" s="8">
        <v>2</v>
      </c>
      <c r="E80" s="12">
        <v>1</v>
      </c>
      <c r="F80" s="8">
        <v>2.7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145</v>
      </c>
      <c r="C81" s="12">
        <v>1</v>
      </c>
      <c r="D81" s="8">
        <v>2</v>
      </c>
      <c r="E81" s="12">
        <v>1</v>
      </c>
      <c r="F81" s="8">
        <v>2.7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207</v>
      </c>
      <c r="C82" s="12">
        <v>1</v>
      </c>
      <c r="D82" s="8">
        <v>2</v>
      </c>
      <c r="E82" s="12">
        <v>1</v>
      </c>
      <c r="F82" s="8">
        <v>2.7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251</v>
      </c>
      <c r="C83" s="12">
        <v>1</v>
      </c>
      <c r="D83" s="8">
        <v>2</v>
      </c>
      <c r="E83" s="12">
        <v>0</v>
      </c>
      <c r="F83" s="8">
        <v>0</v>
      </c>
      <c r="G83" s="12">
        <v>1</v>
      </c>
      <c r="H83" s="8">
        <v>9.09</v>
      </c>
      <c r="I83" s="12">
        <v>0</v>
      </c>
    </row>
    <row r="84" spans="2:9" ht="15" customHeight="1" x14ac:dyDescent="0.2">
      <c r="B84" t="s">
        <v>181</v>
      </c>
      <c r="C84" s="12">
        <v>1</v>
      </c>
      <c r="D84" s="8">
        <v>2</v>
      </c>
      <c r="E84" s="12">
        <v>1</v>
      </c>
      <c r="F84" s="8">
        <v>2.7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147</v>
      </c>
      <c r="C85" s="12">
        <v>1</v>
      </c>
      <c r="D85" s="8">
        <v>2</v>
      </c>
      <c r="E85" s="12">
        <v>1</v>
      </c>
      <c r="F85" s="8">
        <v>2.7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150</v>
      </c>
      <c r="C86" s="12">
        <v>1</v>
      </c>
      <c r="D86" s="8">
        <v>2</v>
      </c>
      <c r="E86" s="12">
        <v>1</v>
      </c>
      <c r="F86" s="8">
        <v>2.7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161</v>
      </c>
      <c r="C87" s="12">
        <v>1</v>
      </c>
      <c r="D87" s="8">
        <v>2</v>
      </c>
      <c r="E87" s="12">
        <v>1</v>
      </c>
      <c r="F87" s="8">
        <v>2.7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252</v>
      </c>
      <c r="C88" s="12">
        <v>1</v>
      </c>
      <c r="D88" s="8">
        <v>2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153</v>
      </c>
      <c r="C89" s="12">
        <v>1</v>
      </c>
      <c r="D89" s="8">
        <v>2</v>
      </c>
      <c r="E89" s="12">
        <v>1</v>
      </c>
      <c r="F89" s="8">
        <v>2.7</v>
      </c>
      <c r="G89" s="12">
        <v>0</v>
      </c>
      <c r="H89" s="8">
        <v>0</v>
      </c>
      <c r="I89" s="12">
        <v>0</v>
      </c>
    </row>
    <row r="91" spans="2:9" ht="15" customHeight="1" x14ac:dyDescent="0.2">
      <c r="B91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2E7B-0B92-43A7-9491-A7EC60024B5C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</v>
      </c>
      <c r="D6" s="8">
        <v>34.29</v>
      </c>
      <c r="E6" s="12">
        <v>11</v>
      </c>
      <c r="F6" s="8">
        <v>45.83</v>
      </c>
      <c r="G6" s="12">
        <v>1</v>
      </c>
      <c r="H6" s="8">
        <v>9.09</v>
      </c>
      <c r="I6" s="12">
        <v>0</v>
      </c>
    </row>
    <row r="7" spans="2:9" ht="15" customHeight="1" x14ac:dyDescent="0.2">
      <c r="B7" t="s">
        <v>53</v>
      </c>
      <c r="C7" s="12">
        <v>6</v>
      </c>
      <c r="D7" s="8">
        <v>17.14</v>
      </c>
      <c r="E7" s="12">
        <v>1</v>
      </c>
      <c r="F7" s="8">
        <v>4.17</v>
      </c>
      <c r="G7" s="12">
        <v>5</v>
      </c>
      <c r="H7" s="8">
        <v>45.45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57</v>
      </c>
      <c r="C11" s="12">
        <v>8</v>
      </c>
      <c r="D11" s="8">
        <v>22.86</v>
      </c>
      <c r="E11" s="12">
        <v>6</v>
      </c>
      <c r="F11" s="8">
        <v>25</v>
      </c>
      <c r="G11" s="12">
        <v>2</v>
      </c>
      <c r="H11" s="8">
        <v>18.18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</v>
      </c>
      <c r="D13" s="8">
        <v>2.86</v>
      </c>
      <c r="E13" s="12">
        <v>1</v>
      </c>
      <c r="F13" s="8">
        <v>4.17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60</v>
      </c>
      <c r="C14" s="12">
        <v>1</v>
      </c>
      <c r="D14" s="8">
        <v>2.86</v>
      </c>
      <c r="E14" s="12">
        <v>0</v>
      </c>
      <c r="F14" s="8">
        <v>0</v>
      </c>
      <c r="G14" s="12">
        <v>1</v>
      </c>
      <c r="H14" s="8">
        <v>9.09</v>
      </c>
      <c r="I14" s="12">
        <v>0</v>
      </c>
    </row>
    <row r="15" spans="2:9" ht="15" customHeight="1" x14ac:dyDescent="0.2">
      <c r="B15" t="s">
        <v>61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62</v>
      </c>
      <c r="C16" s="12">
        <v>3</v>
      </c>
      <c r="D16" s="8">
        <v>8.57</v>
      </c>
      <c r="E16" s="12">
        <v>2</v>
      </c>
      <c r="F16" s="8">
        <v>8.33</v>
      </c>
      <c r="G16" s="12">
        <v>1</v>
      </c>
      <c r="H16" s="8">
        <v>9.09</v>
      </c>
      <c r="I16" s="12">
        <v>0</v>
      </c>
    </row>
    <row r="17" spans="2:9" ht="15" customHeight="1" x14ac:dyDescent="0.2">
      <c r="B17" t="s">
        <v>63</v>
      </c>
      <c r="C17" s="12">
        <v>2</v>
      </c>
      <c r="D17" s="8">
        <v>5.71</v>
      </c>
      <c r="E17" s="12">
        <v>1</v>
      </c>
      <c r="F17" s="8">
        <v>4.17</v>
      </c>
      <c r="G17" s="12">
        <v>1</v>
      </c>
      <c r="H17" s="8">
        <v>9.09</v>
      </c>
      <c r="I17" s="12">
        <v>0</v>
      </c>
    </row>
    <row r="18" spans="2:9" ht="15" customHeight="1" x14ac:dyDescent="0.2">
      <c r="B18" t="s">
        <v>64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2</v>
      </c>
      <c r="D19" s="8">
        <v>5.71</v>
      </c>
      <c r="E19" s="12">
        <v>2</v>
      </c>
      <c r="F19" s="8">
        <v>8.33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281</v>
      </c>
      <c r="C20" s="12">
        <f>SUM(LTBL_43513[総数／事業所数])</f>
        <v>35</v>
      </c>
      <c r="E20" s="12">
        <f>SUBTOTAL(109,LTBL_43513[個人／事業所数])</f>
        <v>24</v>
      </c>
      <c r="G20" s="12">
        <f>SUBTOTAL(109,LTBL_43513[法人／事業所数])</f>
        <v>11</v>
      </c>
      <c r="I20" s="12">
        <f>SUBTOTAL(109,LTBL_43513[法人以外の団体／事業所数])</f>
        <v>0</v>
      </c>
    </row>
    <row r="21" spans="2:9" ht="15" customHeight="1" x14ac:dyDescent="0.2">
      <c r="E21" s="11">
        <f>LTBL_43513[[#Totals],[個人／事業所数]]/LTBL_43513[[#Totals],[総数／事業所数]]</f>
        <v>0.68571428571428572</v>
      </c>
      <c r="G21" s="11">
        <f>LTBL_43513[[#Totals],[法人／事業所数]]/LTBL_43513[[#Totals],[総数／事業所数]]</f>
        <v>0.31428571428571428</v>
      </c>
      <c r="I21" s="11">
        <f>LTBL_43513[[#Totals],[法人以外の団体／事業所数]]/LTBL_43513[[#Totals],[総数／事業所数]]</f>
        <v>0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7</v>
      </c>
      <c r="D24" s="8">
        <v>20</v>
      </c>
      <c r="E24" s="12">
        <v>6</v>
      </c>
      <c r="F24" s="8">
        <v>25</v>
      </c>
      <c r="G24" s="12">
        <v>1</v>
      </c>
      <c r="H24" s="8">
        <v>9.09</v>
      </c>
      <c r="I24" s="12">
        <v>0</v>
      </c>
    </row>
    <row r="25" spans="2:9" ht="15" customHeight="1" x14ac:dyDescent="0.2">
      <c r="B25" t="s">
        <v>75</v>
      </c>
      <c r="C25" s="12">
        <v>4</v>
      </c>
      <c r="D25" s="8">
        <v>11.43</v>
      </c>
      <c r="E25" s="12">
        <v>4</v>
      </c>
      <c r="F25" s="8">
        <v>16.670000000000002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81</v>
      </c>
      <c r="C26" s="12">
        <v>3</v>
      </c>
      <c r="D26" s="8">
        <v>8.57</v>
      </c>
      <c r="E26" s="12">
        <v>3</v>
      </c>
      <c r="F26" s="8">
        <v>12.5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83</v>
      </c>
      <c r="C27" s="12">
        <v>3</v>
      </c>
      <c r="D27" s="8">
        <v>8.57</v>
      </c>
      <c r="E27" s="12">
        <v>2</v>
      </c>
      <c r="F27" s="8">
        <v>8.33</v>
      </c>
      <c r="G27" s="12">
        <v>1</v>
      </c>
      <c r="H27" s="8">
        <v>9.09</v>
      </c>
      <c r="I27" s="12">
        <v>0</v>
      </c>
    </row>
    <row r="28" spans="2:9" ht="15" customHeight="1" x14ac:dyDescent="0.2">
      <c r="B28" t="s">
        <v>109</v>
      </c>
      <c r="C28" s="12">
        <v>2</v>
      </c>
      <c r="D28" s="8">
        <v>5.71</v>
      </c>
      <c r="E28" s="12">
        <v>1</v>
      </c>
      <c r="F28" s="8">
        <v>4.17</v>
      </c>
      <c r="G28" s="12">
        <v>1</v>
      </c>
      <c r="H28" s="8">
        <v>9.09</v>
      </c>
      <c r="I28" s="12">
        <v>0</v>
      </c>
    </row>
    <row r="29" spans="2:9" ht="15" customHeight="1" x14ac:dyDescent="0.2">
      <c r="B29" t="s">
        <v>111</v>
      </c>
      <c r="C29" s="12">
        <v>2</v>
      </c>
      <c r="D29" s="8">
        <v>5.71</v>
      </c>
      <c r="E29" s="12">
        <v>0</v>
      </c>
      <c r="F29" s="8">
        <v>0</v>
      </c>
      <c r="G29" s="12">
        <v>2</v>
      </c>
      <c r="H29" s="8">
        <v>18.18</v>
      </c>
      <c r="I29" s="12">
        <v>0</v>
      </c>
    </row>
    <row r="30" spans="2:9" ht="15" customHeight="1" x14ac:dyDescent="0.2">
      <c r="B30" t="s">
        <v>89</v>
      </c>
      <c r="C30" s="12">
        <v>2</v>
      </c>
      <c r="D30" s="8">
        <v>5.71</v>
      </c>
      <c r="E30" s="12">
        <v>2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90</v>
      </c>
      <c r="C31" s="12">
        <v>2</v>
      </c>
      <c r="D31" s="8">
        <v>5.71</v>
      </c>
      <c r="E31" s="12">
        <v>1</v>
      </c>
      <c r="F31" s="8">
        <v>4.17</v>
      </c>
      <c r="G31" s="12">
        <v>1</v>
      </c>
      <c r="H31" s="8">
        <v>9.09</v>
      </c>
      <c r="I31" s="12">
        <v>0</v>
      </c>
    </row>
    <row r="32" spans="2:9" ht="15" customHeight="1" x14ac:dyDescent="0.2">
      <c r="B32" t="s">
        <v>76</v>
      </c>
      <c r="C32" s="12">
        <v>1</v>
      </c>
      <c r="D32" s="8">
        <v>2.86</v>
      </c>
      <c r="E32" s="12">
        <v>1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77</v>
      </c>
      <c r="C33" s="12">
        <v>1</v>
      </c>
      <c r="D33" s="8">
        <v>2.86</v>
      </c>
      <c r="E33" s="12">
        <v>0</v>
      </c>
      <c r="F33" s="8">
        <v>0</v>
      </c>
      <c r="G33" s="12">
        <v>1</v>
      </c>
      <c r="H33" s="8">
        <v>9.09</v>
      </c>
      <c r="I33" s="12">
        <v>0</v>
      </c>
    </row>
    <row r="34" spans="2:9" ht="15" customHeight="1" x14ac:dyDescent="0.2">
      <c r="B34" t="s">
        <v>108</v>
      </c>
      <c r="C34" s="12">
        <v>1</v>
      </c>
      <c r="D34" s="8">
        <v>2.86</v>
      </c>
      <c r="E34" s="12">
        <v>0</v>
      </c>
      <c r="F34" s="8">
        <v>0</v>
      </c>
      <c r="G34" s="12">
        <v>1</v>
      </c>
      <c r="H34" s="8">
        <v>9.09</v>
      </c>
      <c r="I34" s="12">
        <v>0</v>
      </c>
    </row>
    <row r="35" spans="2:9" ht="15" customHeight="1" x14ac:dyDescent="0.2">
      <c r="B35" t="s">
        <v>99</v>
      </c>
      <c r="C35" s="12">
        <v>1</v>
      </c>
      <c r="D35" s="8">
        <v>2.86</v>
      </c>
      <c r="E35" s="12">
        <v>0</v>
      </c>
      <c r="F35" s="8">
        <v>0</v>
      </c>
      <c r="G35" s="12">
        <v>1</v>
      </c>
      <c r="H35" s="8">
        <v>9.09</v>
      </c>
      <c r="I35" s="12">
        <v>0</v>
      </c>
    </row>
    <row r="36" spans="2:9" ht="15" customHeight="1" x14ac:dyDescent="0.2">
      <c r="B36" t="s">
        <v>94</v>
      </c>
      <c r="C36" s="12">
        <v>1</v>
      </c>
      <c r="D36" s="8">
        <v>2.86</v>
      </c>
      <c r="E36" s="12">
        <v>1</v>
      </c>
      <c r="F36" s="8">
        <v>4.17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85</v>
      </c>
      <c r="C37" s="12">
        <v>1</v>
      </c>
      <c r="D37" s="8">
        <v>2.86</v>
      </c>
      <c r="E37" s="12">
        <v>1</v>
      </c>
      <c r="F37" s="8">
        <v>4.17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87</v>
      </c>
      <c r="C38" s="12">
        <v>1</v>
      </c>
      <c r="D38" s="8">
        <v>2.86</v>
      </c>
      <c r="E38" s="12">
        <v>0</v>
      </c>
      <c r="F38" s="8">
        <v>0</v>
      </c>
      <c r="G38" s="12">
        <v>1</v>
      </c>
      <c r="H38" s="8">
        <v>9.09</v>
      </c>
      <c r="I38" s="12">
        <v>0</v>
      </c>
    </row>
    <row r="39" spans="2:9" ht="15" customHeight="1" x14ac:dyDescent="0.2">
      <c r="B39" t="s">
        <v>100</v>
      </c>
      <c r="C39" s="12">
        <v>1</v>
      </c>
      <c r="D39" s="8">
        <v>2.86</v>
      </c>
      <c r="E39" s="12">
        <v>0</v>
      </c>
      <c r="F39" s="8">
        <v>0</v>
      </c>
      <c r="G39" s="12">
        <v>1</v>
      </c>
      <c r="H39" s="8">
        <v>9.09</v>
      </c>
      <c r="I39" s="12">
        <v>0</v>
      </c>
    </row>
    <row r="40" spans="2:9" ht="15" customHeight="1" x14ac:dyDescent="0.2">
      <c r="B40" t="s">
        <v>118</v>
      </c>
      <c r="C40" s="12">
        <v>1</v>
      </c>
      <c r="D40" s="8">
        <v>2.86</v>
      </c>
      <c r="E40" s="12">
        <v>1</v>
      </c>
      <c r="F40" s="8">
        <v>4.17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93</v>
      </c>
      <c r="C41" s="12">
        <v>1</v>
      </c>
      <c r="D41" s="8">
        <v>2.86</v>
      </c>
      <c r="E41" s="12">
        <v>1</v>
      </c>
      <c r="F41" s="8">
        <v>4.17</v>
      </c>
      <c r="G41" s="12">
        <v>0</v>
      </c>
      <c r="H41" s="8">
        <v>0</v>
      </c>
      <c r="I41" s="12">
        <v>0</v>
      </c>
    </row>
    <row r="44" spans="2:9" ht="33" customHeight="1" x14ac:dyDescent="0.2">
      <c r="B44" t="s">
        <v>283</v>
      </c>
      <c r="C44" s="10" t="s">
        <v>67</v>
      </c>
      <c r="D44" s="10" t="s">
        <v>68</v>
      </c>
      <c r="E44" s="10" t="s">
        <v>69</v>
      </c>
      <c r="F44" s="10" t="s">
        <v>70</v>
      </c>
      <c r="G44" s="10" t="s">
        <v>71</v>
      </c>
      <c r="H44" s="10" t="s">
        <v>72</v>
      </c>
      <c r="I44" s="10" t="s">
        <v>73</v>
      </c>
    </row>
    <row r="45" spans="2:9" ht="15" customHeight="1" x14ac:dyDescent="0.2">
      <c r="B45" t="s">
        <v>137</v>
      </c>
      <c r="C45" s="12">
        <v>6</v>
      </c>
      <c r="D45" s="8">
        <v>17.14</v>
      </c>
      <c r="E45" s="12">
        <v>5</v>
      </c>
      <c r="F45" s="8">
        <v>20.83</v>
      </c>
      <c r="G45" s="12">
        <v>1</v>
      </c>
      <c r="H45" s="8">
        <v>9.09</v>
      </c>
      <c r="I45" s="12">
        <v>0</v>
      </c>
    </row>
    <row r="46" spans="2:9" ht="15" customHeight="1" x14ac:dyDescent="0.2">
      <c r="B46" t="s">
        <v>220</v>
      </c>
      <c r="C46" s="12">
        <v>2</v>
      </c>
      <c r="D46" s="8">
        <v>5.71</v>
      </c>
      <c r="E46" s="12">
        <v>2</v>
      </c>
      <c r="F46" s="8">
        <v>8.33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275</v>
      </c>
      <c r="C47" s="12">
        <v>2</v>
      </c>
      <c r="D47" s="8">
        <v>5.71</v>
      </c>
      <c r="E47" s="12">
        <v>0</v>
      </c>
      <c r="F47" s="8">
        <v>0</v>
      </c>
      <c r="G47" s="12">
        <v>2</v>
      </c>
      <c r="H47" s="8">
        <v>18.18</v>
      </c>
      <c r="I47" s="12">
        <v>0</v>
      </c>
    </row>
    <row r="48" spans="2:9" ht="15" customHeight="1" x14ac:dyDescent="0.2">
      <c r="B48" t="s">
        <v>174</v>
      </c>
      <c r="C48" s="12">
        <v>2</v>
      </c>
      <c r="D48" s="8">
        <v>5.71</v>
      </c>
      <c r="E48" s="12">
        <v>2</v>
      </c>
      <c r="F48" s="8">
        <v>8.33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168</v>
      </c>
      <c r="C49" s="12">
        <v>2</v>
      </c>
      <c r="D49" s="8">
        <v>5.71</v>
      </c>
      <c r="E49" s="12">
        <v>1</v>
      </c>
      <c r="F49" s="8">
        <v>4.17</v>
      </c>
      <c r="G49" s="12">
        <v>1</v>
      </c>
      <c r="H49" s="8">
        <v>9.09</v>
      </c>
      <c r="I49" s="12">
        <v>0</v>
      </c>
    </row>
    <row r="50" spans="2:9" ht="15" customHeight="1" x14ac:dyDescent="0.2">
      <c r="B50" t="s">
        <v>136</v>
      </c>
      <c r="C50" s="12">
        <v>1</v>
      </c>
      <c r="D50" s="8">
        <v>2.86</v>
      </c>
      <c r="E50" s="12">
        <v>1</v>
      </c>
      <c r="F50" s="8">
        <v>4.17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184</v>
      </c>
      <c r="C51" s="12">
        <v>1</v>
      </c>
      <c r="D51" s="8">
        <v>2.86</v>
      </c>
      <c r="E51" s="12">
        <v>1</v>
      </c>
      <c r="F51" s="8">
        <v>4.17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190</v>
      </c>
      <c r="C52" s="12">
        <v>1</v>
      </c>
      <c r="D52" s="8">
        <v>2.86</v>
      </c>
      <c r="E52" s="12">
        <v>1</v>
      </c>
      <c r="F52" s="8">
        <v>4.17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1</v>
      </c>
      <c r="D53" s="8">
        <v>2.86</v>
      </c>
      <c r="E53" s="12">
        <v>1</v>
      </c>
      <c r="F53" s="8">
        <v>4.17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223</v>
      </c>
      <c r="C54" s="12">
        <v>1</v>
      </c>
      <c r="D54" s="8">
        <v>2.86</v>
      </c>
      <c r="E54" s="12">
        <v>0</v>
      </c>
      <c r="F54" s="8">
        <v>0</v>
      </c>
      <c r="G54" s="12">
        <v>1</v>
      </c>
      <c r="H54" s="8">
        <v>9.09</v>
      </c>
      <c r="I54" s="12">
        <v>0</v>
      </c>
    </row>
    <row r="55" spans="2:9" ht="15" customHeight="1" x14ac:dyDescent="0.2">
      <c r="B55" t="s">
        <v>185</v>
      </c>
      <c r="C55" s="12">
        <v>1</v>
      </c>
      <c r="D55" s="8">
        <v>2.86</v>
      </c>
      <c r="E55" s="12">
        <v>0</v>
      </c>
      <c r="F55" s="8">
        <v>0</v>
      </c>
      <c r="G55" s="12">
        <v>1</v>
      </c>
      <c r="H55" s="8">
        <v>9.09</v>
      </c>
      <c r="I55" s="12">
        <v>0</v>
      </c>
    </row>
    <row r="56" spans="2:9" ht="15" customHeight="1" x14ac:dyDescent="0.2">
      <c r="B56" t="s">
        <v>186</v>
      </c>
      <c r="C56" s="12">
        <v>1</v>
      </c>
      <c r="D56" s="8">
        <v>2.86</v>
      </c>
      <c r="E56" s="12">
        <v>0</v>
      </c>
      <c r="F56" s="8">
        <v>0</v>
      </c>
      <c r="G56" s="12">
        <v>1</v>
      </c>
      <c r="H56" s="8">
        <v>9.09</v>
      </c>
      <c r="I56" s="12">
        <v>0</v>
      </c>
    </row>
    <row r="57" spans="2:9" ht="15" customHeight="1" x14ac:dyDescent="0.2">
      <c r="B57" t="s">
        <v>274</v>
      </c>
      <c r="C57" s="12">
        <v>1</v>
      </c>
      <c r="D57" s="8">
        <v>2.86</v>
      </c>
      <c r="E57" s="12">
        <v>1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276</v>
      </c>
      <c r="C58" s="12">
        <v>1</v>
      </c>
      <c r="D58" s="8">
        <v>2.86</v>
      </c>
      <c r="E58" s="12">
        <v>0</v>
      </c>
      <c r="F58" s="8">
        <v>0</v>
      </c>
      <c r="G58" s="12">
        <v>1</v>
      </c>
      <c r="H58" s="8">
        <v>9.09</v>
      </c>
      <c r="I58" s="12">
        <v>0</v>
      </c>
    </row>
    <row r="59" spans="2:9" ht="15" customHeight="1" x14ac:dyDescent="0.2">
      <c r="B59" t="s">
        <v>200</v>
      </c>
      <c r="C59" s="12">
        <v>1</v>
      </c>
      <c r="D59" s="8">
        <v>2.86</v>
      </c>
      <c r="E59" s="12">
        <v>1</v>
      </c>
      <c r="F59" s="8">
        <v>4.17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1</v>
      </c>
      <c r="D60" s="8">
        <v>2.86</v>
      </c>
      <c r="E60" s="12">
        <v>1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143</v>
      </c>
      <c r="C61" s="12">
        <v>1</v>
      </c>
      <c r="D61" s="8">
        <v>2.86</v>
      </c>
      <c r="E61" s="12">
        <v>1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145</v>
      </c>
      <c r="C62" s="12">
        <v>1</v>
      </c>
      <c r="D62" s="8">
        <v>2.86</v>
      </c>
      <c r="E62" s="12">
        <v>1</v>
      </c>
      <c r="F62" s="8">
        <v>4.17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146</v>
      </c>
      <c r="C63" s="12">
        <v>1</v>
      </c>
      <c r="D63" s="8">
        <v>2.86</v>
      </c>
      <c r="E63" s="12">
        <v>0</v>
      </c>
      <c r="F63" s="8">
        <v>0</v>
      </c>
      <c r="G63" s="12">
        <v>1</v>
      </c>
      <c r="H63" s="8">
        <v>9.09</v>
      </c>
      <c r="I63" s="12">
        <v>0</v>
      </c>
    </row>
    <row r="64" spans="2:9" ht="15" customHeight="1" x14ac:dyDescent="0.2">
      <c r="B64" t="s">
        <v>150</v>
      </c>
      <c r="C64" s="12">
        <v>1</v>
      </c>
      <c r="D64" s="8">
        <v>2.86</v>
      </c>
      <c r="E64" s="12">
        <v>1</v>
      </c>
      <c r="F64" s="8">
        <v>4.17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151</v>
      </c>
      <c r="C65" s="12">
        <v>1</v>
      </c>
      <c r="D65" s="8">
        <v>2.86</v>
      </c>
      <c r="E65" s="12">
        <v>1</v>
      </c>
      <c r="F65" s="8">
        <v>4.17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277</v>
      </c>
      <c r="C66" s="12">
        <v>1</v>
      </c>
      <c r="D66" s="8">
        <v>2.86</v>
      </c>
      <c r="E66" s="12">
        <v>0</v>
      </c>
      <c r="F66" s="8">
        <v>0</v>
      </c>
      <c r="G66" s="12">
        <v>1</v>
      </c>
      <c r="H66" s="8">
        <v>9.09</v>
      </c>
      <c r="I66" s="12">
        <v>0</v>
      </c>
    </row>
    <row r="67" spans="2:9" ht="15" customHeight="1" x14ac:dyDescent="0.2">
      <c r="B67" t="s">
        <v>252</v>
      </c>
      <c r="C67" s="12">
        <v>1</v>
      </c>
      <c r="D67" s="8">
        <v>2.86</v>
      </c>
      <c r="E67" s="12">
        <v>0</v>
      </c>
      <c r="F67" s="8">
        <v>0</v>
      </c>
      <c r="G67" s="12">
        <v>1</v>
      </c>
      <c r="H67" s="8">
        <v>9.09</v>
      </c>
      <c r="I67" s="12">
        <v>0</v>
      </c>
    </row>
    <row r="68" spans="2:9" ht="15" customHeight="1" x14ac:dyDescent="0.2">
      <c r="B68" t="s">
        <v>152</v>
      </c>
      <c r="C68" s="12">
        <v>1</v>
      </c>
      <c r="D68" s="8">
        <v>2.86</v>
      </c>
      <c r="E68" s="12">
        <v>1</v>
      </c>
      <c r="F68" s="8">
        <v>4.17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253</v>
      </c>
      <c r="C69" s="12">
        <v>1</v>
      </c>
      <c r="D69" s="8">
        <v>2.86</v>
      </c>
      <c r="E69" s="12">
        <v>1</v>
      </c>
      <c r="F69" s="8">
        <v>4.17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154</v>
      </c>
      <c r="C70" s="12">
        <v>1</v>
      </c>
      <c r="D70" s="8">
        <v>2.86</v>
      </c>
      <c r="E70" s="12">
        <v>1</v>
      </c>
      <c r="F70" s="8">
        <v>4.17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35EF-F00C-4AA0-B276-C87EF49931F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44</v>
      </c>
      <c r="D6" s="8">
        <v>12.09</v>
      </c>
      <c r="E6" s="12">
        <v>27</v>
      </c>
      <c r="F6" s="8">
        <v>11.89</v>
      </c>
      <c r="G6" s="12">
        <v>17</v>
      </c>
      <c r="H6" s="8">
        <v>12.88</v>
      </c>
      <c r="I6" s="12">
        <v>0</v>
      </c>
    </row>
    <row r="7" spans="2:9" ht="15" customHeight="1" x14ac:dyDescent="0.2">
      <c r="B7" t="s">
        <v>53</v>
      </c>
      <c r="C7" s="12">
        <v>43</v>
      </c>
      <c r="D7" s="8">
        <v>11.81</v>
      </c>
      <c r="E7" s="12">
        <v>14</v>
      </c>
      <c r="F7" s="8">
        <v>6.17</v>
      </c>
      <c r="G7" s="12">
        <v>29</v>
      </c>
      <c r="H7" s="8">
        <v>21.97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0.27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0.27</v>
      </c>
      <c r="E9" s="12">
        <v>1</v>
      </c>
      <c r="F9" s="8">
        <v>0.44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0.82</v>
      </c>
      <c r="E10" s="12">
        <v>0</v>
      </c>
      <c r="F10" s="8">
        <v>0</v>
      </c>
      <c r="G10" s="12">
        <v>3</v>
      </c>
      <c r="H10" s="8">
        <v>2.27</v>
      </c>
      <c r="I10" s="12">
        <v>0</v>
      </c>
    </row>
    <row r="11" spans="2:9" ht="15" customHeight="1" x14ac:dyDescent="0.2">
      <c r="B11" t="s">
        <v>57</v>
      </c>
      <c r="C11" s="12">
        <v>106</v>
      </c>
      <c r="D11" s="8">
        <v>29.12</v>
      </c>
      <c r="E11" s="12">
        <v>56</v>
      </c>
      <c r="F11" s="8">
        <v>24.67</v>
      </c>
      <c r="G11" s="12">
        <v>50</v>
      </c>
      <c r="H11" s="8">
        <v>37.880000000000003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0.27</v>
      </c>
      <c r="E12" s="12">
        <v>1</v>
      </c>
      <c r="F12" s="8">
        <v>0.44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7</v>
      </c>
      <c r="D13" s="8">
        <v>1.92</v>
      </c>
      <c r="E13" s="12">
        <v>0</v>
      </c>
      <c r="F13" s="8">
        <v>0</v>
      </c>
      <c r="G13" s="12">
        <v>7</v>
      </c>
      <c r="H13" s="8">
        <v>5.3</v>
      </c>
      <c r="I13" s="12">
        <v>0</v>
      </c>
    </row>
    <row r="14" spans="2:9" ht="15" customHeight="1" x14ac:dyDescent="0.2">
      <c r="B14" t="s">
        <v>60</v>
      </c>
      <c r="C14" s="12">
        <v>15</v>
      </c>
      <c r="D14" s="8">
        <v>4.12</v>
      </c>
      <c r="E14" s="12">
        <v>10</v>
      </c>
      <c r="F14" s="8">
        <v>4.41</v>
      </c>
      <c r="G14" s="12">
        <v>5</v>
      </c>
      <c r="H14" s="8">
        <v>3.79</v>
      </c>
      <c r="I14" s="12">
        <v>0</v>
      </c>
    </row>
    <row r="15" spans="2:9" ht="15" customHeight="1" x14ac:dyDescent="0.2">
      <c r="B15" t="s">
        <v>61</v>
      </c>
      <c r="C15" s="12">
        <v>49</v>
      </c>
      <c r="D15" s="8">
        <v>13.46</v>
      </c>
      <c r="E15" s="12">
        <v>43</v>
      </c>
      <c r="F15" s="8">
        <v>18.940000000000001</v>
      </c>
      <c r="G15" s="12">
        <v>5</v>
      </c>
      <c r="H15" s="8">
        <v>3.79</v>
      </c>
      <c r="I15" s="12">
        <v>0</v>
      </c>
    </row>
    <row r="16" spans="2:9" ht="15" customHeight="1" x14ac:dyDescent="0.2">
      <c r="B16" t="s">
        <v>62</v>
      </c>
      <c r="C16" s="12">
        <v>59</v>
      </c>
      <c r="D16" s="8">
        <v>16.21</v>
      </c>
      <c r="E16" s="12">
        <v>54</v>
      </c>
      <c r="F16" s="8">
        <v>23.79</v>
      </c>
      <c r="G16" s="12">
        <v>4</v>
      </c>
      <c r="H16" s="8">
        <v>3.03</v>
      </c>
      <c r="I16" s="12">
        <v>0</v>
      </c>
    </row>
    <row r="17" spans="2:9" ht="15" customHeight="1" x14ac:dyDescent="0.2">
      <c r="B17" t="s">
        <v>63</v>
      </c>
      <c r="C17" s="12">
        <v>4</v>
      </c>
      <c r="D17" s="8">
        <v>1.1000000000000001</v>
      </c>
      <c r="E17" s="12">
        <v>4</v>
      </c>
      <c r="F17" s="8">
        <v>1.76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19</v>
      </c>
      <c r="D18" s="8">
        <v>5.22</v>
      </c>
      <c r="E18" s="12">
        <v>9</v>
      </c>
      <c r="F18" s="8">
        <v>3.96</v>
      </c>
      <c r="G18" s="12">
        <v>10</v>
      </c>
      <c r="H18" s="8">
        <v>7.58</v>
      </c>
      <c r="I18" s="12">
        <v>0</v>
      </c>
    </row>
    <row r="19" spans="2:9" ht="15" customHeight="1" x14ac:dyDescent="0.2">
      <c r="B19" t="s">
        <v>65</v>
      </c>
      <c r="C19" s="12">
        <v>12</v>
      </c>
      <c r="D19" s="8">
        <v>3.3</v>
      </c>
      <c r="E19" s="12">
        <v>8</v>
      </c>
      <c r="F19" s="8">
        <v>3.52</v>
      </c>
      <c r="G19" s="12">
        <v>2</v>
      </c>
      <c r="H19" s="8">
        <v>1.52</v>
      </c>
      <c r="I19" s="12">
        <v>1</v>
      </c>
    </row>
    <row r="20" spans="2:9" ht="15" customHeight="1" x14ac:dyDescent="0.2">
      <c r="B20" s="9" t="s">
        <v>281</v>
      </c>
      <c r="C20" s="12">
        <f>SUM(LTBL_43514[総数／事業所数])</f>
        <v>364</v>
      </c>
      <c r="E20" s="12">
        <f>SUBTOTAL(109,LTBL_43514[個人／事業所数])</f>
        <v>227</v>
      </c>
      <c r="G20" s="12">
        <f>SUBTOTAL(109,LTBL_43514[法人／事業所数])</f>
        <v>132</v>
      </c>
      <c r="I20" s="12">
        <f>SUBTOTAL(109,LTBL_43514[法人以外の団体／事業所数])</f>
        <v>1</v>
      </c>
    </row>
    <row r="21" spans="2:9" ht="15" customHeight="1" x14ac:dyDescent="0.2">
      <c r="E21" s="11">
        <f>LTBL_43514[[#Totals],[個人／事業所数]]/LTBL_43514[[#Totals],[総数／事業所数]]</f>
        <v>0.62362637362637363</v>
      </c>
      <c r="G21" s="11">
        <f>LTBL_43514[[#Totals],[法人／事業所数]]/LTBL_43514[[#Totals],[総数／事業所数]]</f>
        <v>0.36263736263736263</v>
      </c>
      <c r="I21" s="11">
        <f>LTBL_43514[[#Totals],[法人以外の団体／事業所数]]/LTBL_43514[[#Totals],[総数／事業所数]]</f>
        <v>2.7472527472527475E-3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52</v>
      </c>
      <c r="D24" s="8">
        <v>14.29</v>
      </c>
      <c r="E24" s="12">
        <v>52</v>
      </c>
      <c r="F24" s="8">
        <v>22.91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83</v>
      </c>
      <c r="C25" s="12">
        <v>42</v>
      </c>
      <c r="D25" s="8">
        <v>11.54</v>
      </c>
      <c r="E25" s="12">
        <v>22</v>
      </c>
      <c r="F25" s="8">
        <v>9.69</v>
      </c>
      <c r="G25" s="12">
        <v>20</v>
      </c>
      <c r="H25" s="8">
        <v>15.15</v>
      </c>
      <c r="I25" s="12">
        <v>0</v>
      </c>
    </row>
    <row r="26" spans="2:9" ht="15" customHeight="1" x14ac:dyDescent="0.2">
      <c r="B26" t="s">
        <v>88</v>
      </c>
      <c r="C26" s="12">
        <v>42</v>
      </c>
      <c r="D26" s="8">
        <v>11.54</v>
      </c>
      <c r="E26" s="12">
        <v>38</v>
      </c>
      <c r="F26" s="8">
        <v>16.739999999999998</v>
      </c>
      <c r="G26" s="12">
        <v>4</v>
      </c>
      <c r="H26" s="8">
        <v>3.03</v>
      </c>
      <c r="I26" s="12">
        <v>0</v>
      </c>
    </row>
    <row r="27" spans="2:9" ht="15" customHeight="1" x14ac:dyDescent="0.2">
      <c r="B27" t="s">
        <v>81</v>
      </c>
      <c r="C27" s="12">
        <v>27</v>
      </c>
      <c r="D27" s="8">
        <v>7.42</v>
      </c>
      <c r="E27" s="12">
        <v>18</v>
      </c>
      <c r="F27" s="8">
        <v>7.93</v>
      </c>
      <c r="G27" s="12">
        <v>9</v>
      </c>
      <c r="H27" s="8">
        <v>6.82</v>
      </c>
      <c r="I27" s="12">
        <v>0</v>
      </c>
    </row>
    <row r="28" spans="2:9" ht="15" customHeight="1" x14ac:dyDescent="0.2">
      <c r="B28" t="s">
        <v>74</v>
      </c>
      <c r="C28" s="12">
        <v>24</v>
      </c>
      <c r="D28" s="8">
        <v>6.59</v>
      </c>
      <c r="E28" s="12">
        <v>14</v>
      </c>
      <c r="F28" s="8">
        <v>6.17</v>
      </c>
      <c r="G28" s="12">
        <v>10</v>
      </c>
      <c r="H28" s="8">
        <v>7.58</v>
      </c>
      <c r="I28" s="12">
        <v>0</v>
      </c>
    </row>
    <row r="29" spans="2:9" ht="15" customHeight="1" x14ac:dyDescent="0.2">
      <c r="B29" t="s">
        <v>82</v>
      </c>
      <c r="C29" s="12">
        <v>16</v>
      </c>
      <c r="D29" s="8">
        <v>4.4000000000000004</v>
      </c>
      <c r="E29" s="12">
        <v>10</v>
      </c>
      <c r="F29" s="8">
        <v>4.41</v>
      </c>
      <c r="G29" s="12">
        <v>6</v>
      </c>
      <c r="H29" s="8">
        <v>4.55</v>
      </c>
      <c r="I29" s="12">
        <v>0</v>
      </c>
    </row>
    <row r="30" spans="2:9" ht="15" customHeight="1" x14ac:dyDescent="0.2">
      <c r="B30" t="s">
        <v>75</v>
      </c>
      <c r="C30" s="12">
        <v>12</v>
      </c>
      <c r="D30" s="8">
        <v>3.3</v>
      </c>
      <c r="E30" s="12">
        <v>8</v>
      </c>
      <c r="F30" s="8">
        <v>3.52</v>
      </c>
      <c r="G30" s="12">
        <v>4</v>
      </c>
      <c r="H30" s="8">
        <v>3.03</v>
      </c>
      <c r="I30" s="12">
        <v>0</v>
      </c>
    </row>
    <row r="31" spans="2:9" ht="15" customHeight="1" x14ac:dyDescent="0.2">
      <c r="B31" t="s">
        <v>91</v>
      </c>
      <c r="C31" s="12">
        <v>12</v>
      </c>
      <c r="D31" s="8">
        <v>3.3</v>
      </c>
      <c r="E31" s="12">
        <v>9</v>
      </c>
      <c r="F31" s="8">
        <v>3.96</v>
      </c>
      <c r="G31" s="12">
        <v>3</v>
      </c>
      <c r="H31" s="8">
        <v>2.27</v>
      </c>
      <c r="I31" s="12">
        <v>0</v>
      </c>
    </row>
    <row r="32" spans="2:9" ht="15" customHeight="1" x14ac:dyDescent="0.2">
      <c r="B32" t="s">
        <v>109</v>
      </c>
      <c r="C32" s="12">
        <v>10</v>
      </c>
      <c r="D32" s="8">
        <v>2.75</v>
      </c>
      <c r="E32" s="12">
        <v>1</v>
      </c>
      <c r="F32" s="8">
        <v>0.44</v>
      </c>
      <c r="G32" s="12">
        <v>9</v>
      </c>
      <c r="H32" s="8">
        <v>6.82</v>
      </c>
      <c r="I32" s="12">
        <v>0</v>
      </c>
    </row>
    <row r="33" spans="2:9" ht="15" customHeight="1" x14ac:dyDescent="0.2">
      <c r="B33" t="s">
        <v>87</v>
      </c>
      <c r="C33" s="12">
        <v>10</v>
      </c>
      <c r="D33" s="8">
        <v>2.75</v>
      </c>
      <c r="E33" s="12">
        <v>5</v>
      </c>
      <c r="F33" s="8">
        <v>2.2000000000000002</v>
      </c>
      <c r="G33" s="12">
        <v>5</v>
      </c>
      <c r="H33" s="8">
        <v>3.79</v>
      </c>
      <c r="I33" s="12">
        <v>0</v>
      </c>
    </row>
    <row r="34" spans="2:9" ht="15" customHeight="1" x14ac:dyDescent="0.2">
      <c r="B34" t="s">
        <v>76</v>
      </c>
      <c r="C34" s="12">
        <v>8</v>
      </c>
      <c r="D34" s="8">
        <v>2.2000000000000002</v>
      </c>
      <c r="E34" s="12">
        <v>5</v>
      </c>
      <c r="F34" s="8">
        <v>2.2000000000000002</v>
      </c>
      <c r="G34" s="12">
        <v>3</v>
      </c>
      <c r="H34" s="8">
        <v>2.27</v>
      </c>
      <c r="I34" s="12">
        <v>0</v>
      </c>
    </row>
    <row r="35" spans="2:9" ht="15" customHeight="1" x14ac:dyDescent="0.2">
      <c r="B35" t="s">
        <v>93</v>
      </c>
      <c r="C35" s="12">
        <v>8</v>
      </c>
      <c r="D35" s="8">
        <v>2.2000000000000002</v>
      </c>
      <c r="E35" s="12">
        <v>7</v>
      </c>
      <c r="F35" s="8">
        <v>3.08</v>
      </c>
      <c r="G35" s="12">
        <v>1</v>
      </c>
      <c r="H35" s="8">
        <v>0.76</v>
      </c>
      <c r="I35" s="12">
        <v>0</v>
      </c>
    </row>
    <row r="36" spans="2:9" ht="15" customHeight="1" x14ac:dyDescent="0.2">
      <c r="B36" t="s">
        <v>78</v>
      </c>
      <c r="C36" s="12">
        <v>7</v>
      </c>
      <c r="D36" s="8">
        <v>1.92</v>
      </c>
      <c r="E36" s="12">
        <v>3</v>
      </c>
      <c r="F36" s="8">
        <v>1.32</v>
      </c>
      <c r="G36" s="12">
        <v>4</v>
      </c>
      <c r="H36" s="8">
        <v>3.03</v>
      </c>
      <c r="I36" s="12">
        <v>0</v>
      </c>
    </row>
    <row r="37" spans="2:9" ht="15" customHeight="1" x14ac:dyDescent="0.2">
      <c r="B37" t="s">
        <v>92</v>
      </c>
      <c r="C37" s="12">
        <v>7</v>
      </c>
      <c r="D37" s="8">
        <v>1.92</v>
      </c>
      <c r="E37" s="12">
        <v>0</v>
      </c>
      <c r="F37" s="8">
        <v>0</v>
      </c>
      <c r="G37" s="12">
        <v>7</v>
      </c>
      <c r="H37" s="8">
        <v>5.3</v>
      </c>
      <c r="I37" s="12">
        <v>0</v>
      </c>
    </row>
    <row r="38" spans="2:9" ht="15" customHeight="1" x14ac:dyDescent="0.2">
      <c r="B38" t="s">
        <v>108</v>
      </c>
      <c r="C38" s="12">
        <v>6</v>
      </c>
      <c r="D38" s="8">
        <v>1.65</v>
      </c>
      <c r="E38" s="12">
        <v>1</v>
      </c>
      <c r="F38" s="8">
        <v>0.44</v>
      </c>
      <c r="G38" s="12">
        <v>5</v>
      </c>
      <c r="H38" s="8">
        <v>3.79</v>
      </c>
      <c r="I38" s="12">
        <v>0</v>
      </c>
    </row>
    <row r="39" spans="2:9" ht="15" customHeight="1" x14ac:dyDescent="0.2">
      <c r="B39" t="s">
        <v>97</v>
      </c>
      <c r="C39" s="12">
        <v>6</v>
      </c>
      <c r="D39" s="8">
        <v>1.65</v>
      </c>
      <c r="E39" s="12">
        <v>2</v>
      </c>
      <c r="F39" s="8">
        <v>0.88</v>
      </c>
      <c r="G39" s="12">
        <v>3</v>
      </c>
      <c r="H39" s="8">
        <v>2.27</v>
      </c>
      <c r="I39" s="12">
        <v>0</v>
      </c>
    </row>
    <row r="40" spans="2:9" ht="15" customHeight="1" x14ac:dyDescent="0.2">
      <c r="B40" t="s">
        <v>103</v>
      </c>
      <c r="C40" s="12">
        <v>5</v>
      </c>
      <c r="D40" s="8">
        <v>1.37</v>
      </c>
      <c r="E40" s="12">
        <v>1</v>
      </c>
      <c r="F40" s="8">
        <v>0.44</v>
      </c>
      <c r="G40" s="12">
        <v>4</v>
      </c>
      <c r="H40" s="8">
        <v>3.03</v>
      </c>
      <c r="I40" s="12">
        <v>0</v>
      </c>
    </row>
    <row r="41" spans="2:9" ht="15" customHeight="1" x14ac:dyDescent="0.2">
      <c r="B41" t="s">
        <v>111</v>
      </c>
      <c r="C41" s="12">
        <v>5</v>
      </c>
      <c r="D41" s="8">
        <v>1.37</v>
      </c>
      <c r="E41" s="12">
        <v>0</v>
      </c>
      <c r="F41" s="8">
        <v>0</v>
      </c>
      <c r="G41" s="12">
        <v>5</v>
      </c>
      <c r="H41" s="8">
        <v>3.79</v>
      </c>
      <c r="I41" s="12">
        <v>0</v>
      </c>
    </row>
    <row r="42" spans="2:9" ht="15" customHeight="1" x14ac:dyDescent="0.2">
      <c r="B42" t="s">
        <v>86</v>
      </c>
      <c r="C42" s="12">
        <v>5</v>
      </c>
      <c r="D42" s="8">
        <v>1.37</v>
      </c>
      <c r="E42" s="12">
        <v>5</v>
      </c>
      <c r="F42" s="8">
        <v>2.2000000000000002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101</v>
      </c>
      <c r="C43" s="12">
        <v>5</v>
      </c>
      <c r="D43" s="8">
        <v>1.37</v>
      </c>
      <c r="E43" s="12">
        <v>4</v>
      </c>
      <c r="F43" s="8">
        <v>1.76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26</v>
      </c>
      <c r="D47" s="8">
        <v>7.14</v>
      </c>
      <c r="E47" s="12">
        <v>26</v>
      </c>
      <c r="F47" s="8">
        <v>11.45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150</v>
      </c>
      <c r="C48" s="12">
        <v>20</v>
      </c>
      <c r="D48" s="8">
        <v>5.49</v>
      </c>
      <c r="E48" s="12">
        <v>20</v>
      </c>
      <c r="F48" s="8">
        <v>8.81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149</v>
      </c>
      <c r="C49" s="12">
        <v>15</v>
      </c>
      <c r="D49" s="8">
        <v>4.12</v>
      </c>
      <c r="E49" s="12">
        <v>14</v>
      </c>
      <c r="F49" s="8">
        <v>6.17</v>
      </c>
      <c r="G49" s="12">
        <v>1</v>
      </c>
      <c r="H49" s="8">
        <v>0.76</v>
      </c>
      <c r="I49" s="12">
        <v>0</v>
      </c>
    </row>
    <row r="50" spans="2:9" ht="15" customHeight="1" x14ac:dyDescent="0.2">
      <c r="B50" t="s">
        <v>141</v>
      </c>
      <c r="C50" s="12">
        <v>12</v>
      </c>
      <c r="D50" s="8">
        <v>3.3</v>
      </c>
      <c r="E50" s="12">
        <v>6</v>
      </c>
      <c r="F50" s="8">
        <v>2.64</v>
      </c>
      <c r="G50" s="12">
        <v>6</v>
      </c>
      <c r="H50" s="8">
        <v>4.55</v>
      </c>
      <c r="I50" s="12">
        <v>0</v>
      </c>
    </row>
    <row r="51" spans="2:9" ht="15" customHeight="1" x14ac:dyDescent="0.2">
      <c r="B51" t="s">
        <v>148</v>
      </c>
      <c r="C51" s="12">
        <v>12</v>
      </c>
      <c r="D51" s="8">
        <v>3.3</v>
      </c>
      <c r="E51" s="12">
        <v>11</v>
      </c>
      <c r="F51" s="8">
        <v>4.8499999999999996</v>
      </c>
      <c r="G51" s="12">
        <v>1</v>
      </c>
      <c r="H51" s="8">
        <v>0.76</v>
      </c>
      <c r="I51" s="12">
        <v>0</v>
      </c>
    </row>
    <row r="52" spans="2:9" ht="15" customHeight="1" x14ac:dyDescent="0.2">
      <c r="B52" t="s">
        <v>153</v>
      </c>
      <c r="C52" s="12">
        <v>11</v>
      </c>
      <c r="D52" s="8">
        <v>3.02</v>
      </c>
      <c r="E52" s="12">
        <v>8</v>
      </c>
      <c r="F52" s="8">
        <v>3.52</v>
      </c>
      <c r="G52" s="12">
        <v>3</v>
      </c>
      <c r="H52" s="8">
        <v>2.27</v>
      </c>
      <c r="I52" s="12">
        <v>0</v>
      </c>
    </row>
    <row r="53" spans="2:9" ht="15" customHeight="1" x14ac:dyDescent="0.2">
      <c r="B53" t="s">
        <v>135</v>
      </c>
      <c r="C53" s="12">
        <v>10</v>
      </c>
      <c r="D53" s="8">
        <v>2.75</v>
      </c>
      <c r="E53" s="12">
        <v>5</v>
      </c>
      <c r="F53" s="8">
        <v>2.2000000000000002</v>
      </c>
      <c r="G53" s="12">
        <v>5</v>
      </c>
      <c r="H53" s="8">
        <v>3.79</v>
      </c>
      <c r="I53" s="12">
        <v>0</v>
      </c>
    </row>
    <row r="54" spans="2:9" ht="15" customHeight="1" x14ac:dyDescent="0.2">
      <c r="B54" t="s">
        <v>140</v>
      </c>
      <c r="C54" s="12">
        <v>9</v>
      </c>
      <c r="D54" s="8">
        <v>2.4700000000000002</v>
      </c>
      <c r="E54" s="12">
        <v>5</v>
      </c>
      <c r="F54" s="8">
        <v>2.2000000000000002</v>
      </c>
      <c r="G54" s="12">
        <v>4</v>
      </c>
      <c r="H54" s="8">
        <v>3.03</v>
      </c>
      <c r="I54" s="12">
        <v>0</v>
      </c>
    </row>
    <row r="55" spans="2:9" ht="15" customHeight="1" x14ac:dyDescent="0.2">
      <c r="B55" t="s">
        <v>147</v>
      </c>
      <c r="C55" s="12">
        <v>9</v>
      </c>
      <c r="D55" s="8">
        <v>2.4700000000000002</v>
      </c>
      <c r="E55" s="12">
        <v>7</v>
      </c>
      <c r="F55" s="8">
        <v>3.08</v>
      </c>
      <c r="G55" s="12">
        <v>2</v>
      </c>
      <c r="H55" s="8">
        <v>1.52</v>
      </c>
      <c r="I55" s="12">
        <v>0</v>
      </c>
    </row>
    <row r="56" spans="2:9" ht="15" customHeight="1" x14ac:dyDescent="0.2">
      <c r="B56" t="s">
        <v>186</v>
      </c>
      <c r="C56" s="12">
        <v>8</v>
      </c>
      <c r="D56" s="8">
        <v>2.2000000000000002</v>
      </c>
      <c r="E56" s="12">
        <v>0</v>
      </c>
      <c r="F56" s="8">
        <v>0</v>
      </c>
      <c r="G56" s="12">
        <v>8</v>
      </c>
      <c r="H56" s="8">
        <v>6.06</v>
      </c>
      <c r="I56" s="12">
        <v>0</v>
      </c>
    </row>
    <row r="57" spans="2:9" ht="15" customHeight="1" x14ac:dyDescent="0.2">
      <c r="B57" t="s">
        <v>154</v>
      </c>
      <c r="C57" s="12">
        <v>8</v>
      </c>
      <c r="D57" s="8">
        <v>2.2000000000000002</v>
      </c>
      <c r="E57" s="12">
        <v>7</v>
      </c>
      <c r="F57" s="8">
        <v>3.08</v>
      </c>
      <c r="G57" s="12">
        <v>1</v>
      </c>
      <c r="H57" s="8">
        <v>0.76</v>
      </c>
      <c r="I57" s="12">
        <v>0</v>
      </c>
    </row>
    <row r="58" spans="2:9" ht="15" customHeight="1" x14ac:dyDescent="0.2">
      <c r="B58" t="s">
        <v>137</v>
      </c>
      <c r="C58" s="12">
        <v>7</v>
      </c>
      <c r="D58" s="8">
        <v>1.92</v>
      </c>
      <c r="E58" s="12">
        <v>5</v>
      </c>
      <c r="F58" s="8">
        <v>2.2000000000000002</v>
      </c>
      <c r="G58" s="12">
        <v>2</v>
      </c>
      <c r="H58" s="8">
        <v>1.52</v>
      </c>
      <c r="I58" s="12">
        <v>0</v>
      </c>
    </row>
    <row r="59" spans="2:9" ht="15" customHeight="1" x14ac:dyDescent="0.2">
      <c r="B59" t="s">
        <v>138</v>
      </c>
      <c r="C59" s="12">
        <v>7</v>
      </c>
      <c r="D59" s="8">
        <v>1.92</v>
      </c>
      <c r="E59" s="12">
        <v>4</v>
      </c>
      <c r="F59" s="8">
        <v>1.76</v>
      </c>
      <c r="G59" s="12">
        <v>3</v>
      </c>
      <c r="H59" s="8">
        <v>2.27</v>
      </c>
      <c r="I59" s="12">
        <v>0</v>
      </c>
    </row>
    <row r="60" spans="2:9" ht="15" customHeight="1" x14ac:dyDescent="0.2">
      <c r="B60" t="s">
        <v>142</v>
      </c>
      <c r="C60" s="12">
        <v>7</v>
      </c>
      <c r="D60" s="8">
        <v>1.92</v>
      </c>
      <c r="E60" s="12">
        <v>3</v>
      </c>
      <c r="F60" s="8">
        <v>1.32</v>
      </c>
      <c r="G60" s="12">
        <v>4</v>
      </c>
      <c r="H60" s="8">
        <v>3.03</v>
      </c>
      <c r="I60" s="12">
        <v>0</v>
      </c>
    </row>
    <row r="61" spans="2:9" ht="15" customHeight="1" x14ac:dyDescent="0.2">
      <c r="B61" t="s">
        <v>168</v>
      </c>
      <c r="C61" s="12">
        <v>7</v>
      </c>
      <c r="D61" s="8">
        <v>1.92</v>
      </c>
      <c r="E61" s="12">
        <v>1</v>
      </c>
      <c r="F61" s="8">
        <v>0.44</v>
      </c>
      <c r="G61" s="12">
        <v>6</v>
      </c>
      <c r="H61" s="8">
        <v>4.55</v>
      </c>
      <c r="I61" s="12">
        <v>0</v>
      </c>
    </row>
    <row r="62" spans="2:9" ht="15" customHeight="1" x14ac:dyDescent="0.2">
      <c r="B62" t="s">
        <v>143</v>
      </c>
      <c r="C62" s="12">
        <v>7</v>
      </c>
      <c r="D62" s="8">
        <v>1.92</v>
      </c>
      <c r="E62" s="12">
        <v>5</v>
      </c>
      <c r="F62" s="8">
        <v>2.2000000000000002</v>
      </c>
      <c r="G62" s="12">
        <v>2</v>
      </c>
      <c r="H62" s="8">
        <v>1.52</v>
      </c>
      <c r="I62" s="12">
        <v>0</v>
      </c>
    </row>
    <row r="63" spans="2:9" ht="15" customHeight="1" x14ac:dyDescent="0.2">
      <c r="B63" t="s">
        <v>189</v>
      </c>
      <c r="C63" s="12">
        <v>5</v>
      </c>
      <c r="D63" s="8">
        <v>1.37</v>
      </c>
      <c r="E63" s="12">
        <v>3</v>
      </c>
      <c r="F63" s="8">
        <v>1.32</v>
      </c>
      <c r="G63" s="12">
        <v>2</v>
      </c>
      <c r="H63" s="8">
        <v>1.52</v>
      </c>
      <c r="I63" s="12">
        <v>0</v>
      </c>
    </row>
    <row r="64" spans="2:9" ht="15" customHeight="1" x14ac:dyDescent="0.2">
      <c r="B64" t="s">
        <v>203</v>
      </c>
      <c r="C64" s="12">
        <v>5</v>
      </c>
      <c r="D64" s="8">
        <v>1.37</v>
      </c>
      <c r="E64" s="12">
        <v>3</v>
      </c>
      <c r="F64" s="8">
        <v>1.32</v>
      </c>
      <c r="G64" s="12">
        <v>2</v>
      </c>
      <c r="H64" s="8">
        <v>1.52</v>
      </c>
      <c r="I64" s="12">
        <v>0</v>
      </c>
    </row>
    <row r="65" spans="2:9" ht="15" customHeight="1" x14ac:dyDescent="0.2">
      <c r="B65" t="s">
        <v>234</v>
      </c>
      <c r="C65" s="12">
        <v>5</v>
      </c>
      <c r="D65" s="8">
        <v>1.37</v>
      </c>
      <c r="E65" s="12">
        <v>2</v>
      </c>
      <c r="F65" s="8">
        <v>0.88</v>
      </c>
      <c r="G65" s="12">
        <v>3</v>
      </c>
      <c r="H65" s="8">
        <v>2.27</v>
      </c>
      <c r="I65" s="12">
        <v>0</v>
      </c>
    </row>
    <row r="66" spans="2:9" ht="15" customHeight="1" x14ac:dyDescent="0.2">
      <c r="B66" t="s">
        <v>146</v>
      </c>
      <c r="C66" s="12">
        <v>5</v>
      </c>
      <c r="D66" s="8">
        <v>1.37</v>
      </c>
      <c r="E66" s="12">
        <v>1</v>
      </c>
      <c r="F66" s="8">
        <v>0.44</v>
      </c>
      <c r="G66" s="12">
        <v>4</v>
      </c>
      <c r="H66" s="8">
        <v>3.03</v>
      </c>
      <c r="I66" s="12">
        <v>0</v>
      </c>
    </row>
    <row r="67" spans="2:9" ht="15" customHeight="1" x14ac:dyDescent="0.2">
      <c r="B67" t="s">
        <v>160</v>
      </c>
      <c r="C67" s="12">
        <v>5</v>
      </c>
      <c r="D67" s="8">
        <v>1.37</v>
      </c>
      <c r="E67" s="12">
        <v>5</v>
      </c>
      <c r="F67" s="8">
        <v>2.2000000000000002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A6ED-05AF-4FF5-8805-BE89B7136D57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35</v>
      </c>
      <c r="D6" s="8">
        <v>17.5</v>
      </c>
      <c r="E6" s="12">
        <v>16</v>
      </c>
      <c r="F6" s="8">
        <v>13.22</v>
      </c>
      <c r="G6" s="12">
        <v>19</v>
      </c>
      <c r="H6" s="8">
        <v>26.76</v>
      </c>
      <c r="I6" s="12">
        <v>0</v>
      </c>
    </row>
    <row r="7" spans="2:9" ht="15" customHeight="1" x14ac:dyDescent="0.2">
      <c r="B7" t="s">
        <v>53</v>
      </c>
      <c r="C7" s="12">
        <v>10</v>
      </c>
      <c r="D7" s="8">
        <v>5</v>
      </c>
      <c r="E7" s="12">
        <v>5</v>
      </c>
      <c r="F7" s="8">
        <v>4.13</v>
      </c>
      <c r="G7" s="12">
        <v>5</v>
      </c>
      <c r="H7" s="8">
        <v>7.04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0.5</v>
      </c>
      <c r="E8" s="12">
        <v>0</v>
      </c>
      <c r="F8" s="8">
        <v>0</v>
      </c>
      <c r="G8" s="12">
        <v>1</v>
      </c>
      <c r="H8" s="8">
        <v>1.41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0.5</v>
      </c>
      <c r="E9" s="12">
        <v>0</v>
      </c>
      <c r="F9" s="8">
        <v>0</v>
      </c>
      <c r="G9" s="12">
        <v>1</v>
      </c>
      <c r="H9" s="8">
        <v>1.41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2</v>
      </c>
      <c r="E10" s="12">
        <v>3</v>
      </c>
      <c r="F10" s="8">
        <v>2.48</v>
      </c>
      <c r="G10" s="12">
        <v>1</v>
      </c>
      <c r="H10" s="8">
        <v>1.41</v>
      </c>
      <c r="I10" s="12">
        <v>0</v>
      </c>
    </row>
    <row r="11" spans="2:9" ht="15" customHeight="1" x14ac:dyDescent="0.2">
      <c r="B11" t="s">
        <v>57</v>
      </c>
      <c r="C11" s="12">
        <v>68</v>
      </c>
      <c r="D11" s="8">
        <v>34</v>
      </c>
      <c r="E11" s="12">
        <v>44</v>
      </c>
      <c r="F11" s="8">
        <v>36.36</v>
      </c>
      <c r="G11" s="12">
        <v>23</v>
      </c>
      <c r="H11" s="8">
        <v>32.39</v>
      </c>
      <c r="I11" s="12">
        <v>1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5</v>
      </c>
      <c r="D13" s="8">
        <v>2.5</v>
      </c>
      <c r="E13" s="12">
        <v>0</v>
      </c>
      <c r="F13" s="8">
        <v>0</v>
      </c>
      <c r="G13" s="12">
        <v>5</v>
      </c>
      <c r="H13" s="8">
        <v>7.04</v>
      </c>
      <c r="I13" s="12">
        <v>0</v>
      </c>
    </row>
    <row r="14" spans="2:9" ht="15" customHeight="1" x14ac:dyDescent="0.2">
      <c r="B14" t="s">
        <v>60</v>
      </c>
      <c r="C14" s="12">
        <v>4</v>
      </c>
      <c r="D14" s="8">
        <v>2</v>
      </c>
      <c r="E14" s="12">
        <v>3</v>
      </c>
      <c r="F14" s="8">
        <v>2.48</v>
      </c>
      <c r="G14" s="12">
        <v>1</v>
      </c>
      <c r="H14" s="8">
        <v>1.41</v>
      </c>
      <c r="I14" s="12">
        <v>0</v>
      </c>
    </row>
    <row r="15" spans="2:9" ht="15" customHeight="1" x14ac:dyDescent="0.2">
      <c r="B15" t="s">
        <v>61</v>
      </c>
      <c r="C15" s="12">
        <v>25</v>
      </c>
      <c r="D15" s="8">
        <v>12.5</v>
      </c>
      <c r="E15" s="12">
        <v>20</v>
      </c>
      <c r="F15" s="8">
        <v>16.53</v>
      </c>
      <c r="G15" s="12">
        <v>4</v>
      </c>
      <c r="H15" s="8">
        <v>5.63</v>
      </c>
      <c r="I15" s="12">
        <v>1</v>
      </c>
    </row>
    <row r="16" spans="2:9" ht="15" customHeight="1" x14ac:dyDescent="0.2">
      <c r="B16" t="s">
        <v>62</v>
      </c>
      <c r="C16" s="12">
        <v>28</v>
      </c>
      <c r="D16" s="8">
        <v>14</v>
      </c>
      <c r="E16" s="12">
        <v>24</v>
      </c>
      <c r="F16" s="8">
        <v>19.829999999999998</v>
      </c>
      <c r="G16" s="12">
        <v>4</v>
      </c>
      <c r="H16" s="8">
        <v>5.63</v>
      </c>
      <c r="I16" s="12">
        <v>0</v>
      </c>
    </row>
    <row r="17" spans="2:9" ht="15" customHeight="1" x14ac:dyDescent="0.2">
      <c r="B17" t="s">
        <v>63</v>
      </c>
      <c r="C17" s="12">
        <v>8</v>
      </c>
      <c r="D17" s="8">
        <v>4</v>
      </c>
      <c r="E17" s="12">
        <v>2</v>
      </c>
      <c r="F17" s="8">
        <v>1.65</v>
      </c>
      <c r="G17" s="12">
        <v>1</v>
      </c>
      <c r="H17" s="8">
        <v>1.41</v>
      </c>
      <c r="I17" s="12">
        <v>0</v>
      </c>
    </row>
    <row r="18" spans="2:9" ht="15" customHeight="1" x14ac:dyDescent="0.2">
      <c r="B18" t="s">
        <v>64</v>
      </c>
      <c r="C18" s="12">
        <v>5</v>
      </c>
      <c r="D18" s="8">
        <v>2.5</v>
      </c>
      <c r="E18" s="12">
        <v>1</v>
      </c>
      <c r="F18" s="8">
        <v>0.83</v>
      </c>
      <c r="G18" s="12">
        <v>4</v>
      </c>
      <c r="H18" s="8">
        <v>5.63</v>
      </c>
      <c r="I18" s="12">
        <v>0</v>
      </c>
    </row>
    <row r="19" spans="2:9" ht="15" customHeight="1" x14ac:dyDescent="0.2">
      <c r="B19" t="s">
        <v>65</v>
      </c>
      <c r="C19" s="12">
        <v>6</v>
      </c>
      <c r="D19" s="8">
        <v>3</v>
      </c>
      <c r="E19" s="12">
        <v>3</v>
      </c>
      <c r="F19" s="8">
        <v>2.48</v>
      </c>
      <c r="G19" s="12">
        <v>2</v>
      </c>
      <c r="H19" s="8">
        <v>2.82</v>
      </c>
      <c r="I19" s="12">
        <v>0</v>
      </c>
    </row>
    <row r="20" spans="2:9" ht="15" customHeight="1" x14ac:dyDescent="0.2">
      <c r="B20" s="9" t="s">
        <v>281</v>
      </c>
      <c r="C20" s="12">
        <f>SUM(LTBL_43531[総数／事業所数])</f>
        <v>200</v>
      </c>
      <c r="E20" s="12">
        <f>SUBTOTAL(109,LTBL_43531[個人／事業所数])</f>
        <v>121</v>
      </c>
      <c r="G20" s="12">
        <f>SUBTOTAL(109,LTBL_43531[法人／事業所数])</f>
        <v>71</v>
      </c>
      <c r="I20" s="12">
        <f>SUBTOTAL(109,LTBL_43531[法人以外の団体／事業所数])</f>
        <v>2</v>
      </c>
    </row>
    <row r="21" spans="2:9" ht="15" customHeight="1" x14ac:dyDescent="0.2">
      <c r="E21" s="11">
        <f>LTBL_43531[[#Totals],[個人／事業所数]]/LTBL_43531[[#Totals],[総数／事業所数]]</f>
        <v>0.60499999999999998</v>
      </c>
      <c r="G21" s="11">
        <f>LTBL_43531[[#Totals],[法人／事業所数]]/LTBL_43531[[#Totals],[総数／事業所数]]</f>
        <v>0.35499999999999998</v>
      </c>
      <c r="I21" s="11">
        <f>LTBL_43531[[#Totals],[法人以外の団体／事業所数]]/LTBL_43531[[#Totals],[総数／事業所数]]</f>
        <v>0.01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83</v>
      </c>
      <c r="C24" s="12">
        <v>26</v>
      </c>
      <c r="D24" s="8">
        <v>13</v>
      </c>
      <c r="E24" s="12">
        <v>16</v>
      </c>
      <c r="F24" s="8">
        <v>13.22</v>
      </c>
      <c r="G24" s="12">
        <v>10</v>
      </c>
      <c r="H24" s="8">
        <v>14.08</v>
      </c>
      <c r="I24" s="12">
        <v>0</v>
      </c>
    </row>
    <row r="25" spans="2:9" ht="15" customHeight="1" x14ac:dyDescent="0.2">
      <c r="B25" t="s">
        <v>89</v>
      </c>
      <c r="C25" s="12">
        <v>26</v>
      </c>
      <c r="D25" s="8">
        <v>13</v>
      </c>
      <c r="E25" s="12">
        <v>24</v>
      </c>
      <c r="F25" s="8">
        <v>19.829999999999998</v>
      </c>
      <c r="G25" s="12">
        <v>2</v>
      </c>
      <c r="H25" s="8">
        <v>2.82</v>
      </c>
      <c r="I25" s="12">
        <v>0</v>
      </c>
    </row>
    <row r="26" spans="2:9" ht="15" customHeight="1" x14ac:dyDescent="0.2">
      <c r="B26" t="s">
        <v>81</v>
      </c>
      <c r="C26" s="12">
        <v>22</v>
      </c>
      <c r="D26" s="8">
        <v>11</v>
      </c>
      <c r="E26" s="12">
        <v>15</v>
      </c>
      <c r="F26" s="8">
        <v>12.4</v>
      </c>
      <c r="G26" s="12">
        <v>6</v>
      </c>
      <c r="H26" s="8">
        <v>8.4499999999999993</v>
      </c>
      <c r="I26" s="12">
        <v>1</v>
      </c>
    </row>
    <row r="27" spans="2:9" ht="15" customHeight="1" x14ac:dyDescent="0.2">
      <c r="B27" t="s">
        <v>74</v>
      </c>
      <c r="C27" s="12">
        <v>17</v>
      </c>
      <c r="D27" s="8">
        <v>8.5</v>
      </c>
      <c r="E27" s="12">
        <v>6</v>
      </c>
      <c r="F27" s="8">
        <v>4.96</v>
      </c>
      <c r="G27" s="12">
        <v>11</v>
      </c>
      <c r="H27" s="8">
        <v>15.49</v>
      </c>
      <c r="I27" s="12">
        <v>0</v>
      </c>
    </row>
    <row r="28" spans="2:9" ht="15" customHeight="1" x14ac:dyDescent="0.2">
      <c r="B28" t="s">
        <v>88</v>
      </c>
      <c r="C28" s="12">
        <v>14</v>
      </c>
      <c r="D28" s="8">
        <v>7</v>
      </c>
      <c r="E28" s="12">
        <v>14</v>
      </c>
      <c r="F28" s="8">
        <v>11.57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82</v>
      </c>
      <c r="C29" s="12">
        <v>11</v>
      </c>
      <c r="D29" s="8">
        <v>5.5</v>
      </c>
      <c r="E29" s="12">
        <v>8</v>
      </c>
      <c r="F29" s="8">
        <v>6.61</v>
      </c>
      <c r="G29" s="12">
        <v>3</v>
      </c>
      <c r="H29" s="8">
        <v>4.2300000000000004</v>
      </c>
      <c r="I29" s="12">
        <v>0</v>
      </c>
    </row>
    <row r="30" spans="2:9" ht="15" customHeight="1" x14ac:dyDescent="0.2">
      <c r="B30" t="s">
        <v>75</v>
      </c>
      <c r="C30" s="12">
        <v>10</v>
      </c>
      <c r="D30" s="8">
        <v>5</v>
      </c>
      <c r="E30" s="12">
        <v>8</v>
      </c>
      <c r="F30" s="8">
        <v>6.61</v>
      </c>
      <c r="G30" s="12">
        <v>2</v>
      </c>
      <c r="H30" s="8">
        <v>2.82</v>
      </c>
      <c r="I30" s="12">
        <v>0</v>
      </c>
    </row>
    <row r="31" spans="2:9" ht="15" customHeight="1" x14ac:dyDescent="0.2">
      <c r="B31" t="s">
        <v>76</v>
      </c>
      <c r="C31" s="12">
        <v>8</v>
      </c>
      <c r="D31" s="8">
        <v>4</v>
      </c>
      <c r="E31" s="12">
        <v>2</v>
      </c>
      <c r="F31" s="8">
        <v>1.65</v>
      </c>
      <c r="G31" s="12">
        <v>6</v>
      </c>
      <c r="H31" s="8">
        <v>8.4499999999999993</v>
      </c>
      <c r="I31" s="12">
        <v>0</v>
      </c>
    </row>
    <row r="32" spans="2:9" ht="15" customHeight="1" x14ac:dyDescent="0.2">
      <c r="B32" t="s">
        <v>90</v>
      </c>
      <c r="C32" s="12">
        <v>8</v>
      </c>
      <c r="D32" s="8">
        <v>4</v>
      </c>
      <c r="E32" s="12">
        <v>2</v>
      </c>
      <c r="F32" s="8">
        <v>1.65</v>
      </c>
      <c r="G32" s="12">
        <v>1</v>
      </c>
      <c r="H32" s="8">
        <v>1.41</v>
      </c>
      <c r="I32" s="12">
        <v>0</v>
      </c>
    </row>
    <row r="33" spans="2:9" ht="15" customHeight="1" x14ac:dyDescent="0.2">
      <c r="B33" t="s">
        <v>106</v>
      </c>
      <c r="C33" s="12">
        <v>6</v>
      </c>
      <c r="D33" s="8">
        <v>3</v>
      </c>
      <c r="E33" s="12">
        <v>3</v>
      </c>
      <c r="F33" s="8">
        <v>2.48</v>
      </c>
      <c r="G33" s="12">
        <v>2</v>
      </c>
      <c r="H33" s="8">
        <v>2.82</v>
      </c>
      <c r="I33" s="12">
        <v>1</v>
      </c>
    </row>
    <row r="34" spans="2:9" ht="15" customHeight="1" x14ac:dyDescent="0.2">
      <c r="B34" t="s">
        <v>101</v>
      </c>
      <c r="C34" s="12">
        <v>5</v>
      </c>
      <c r="D34" s="8">
        <v>2.5</v>
      </c>
      <c r="E34" s="12">
        <v>3</v>
      </c>
      <c r="F34" s="8">
        <v>2.48</v>
      </c>
      <c r="G34" s="12">
        <v>2</v>
      </c>
      <c r="H34" s="8">
        <v>2.82</v>
      </c>
      <c r="I34" s="12">
        <v>0</v>
      </c>
    </row>
    <row r="35" spans="2:9" ht="15" customHeight="1" x14ac:dyDescent="0.2">
      <c r="B35" t="s">
        <v>93</v>
      </c>
      <c r="C35" s="12">
        <v>5</v>
      </c>
      <c r="D35" s="8">
        <v>2.5</v>
      </c>
      <c r="E35" s="12">
        <v>3</v>
      </c>
      <c r="F35" s="8">
        <v>2.48</v>
      </c>
      <c r="G35" s="12">
        <v>2</v>
      </c>
      <c r="H35" s="8">
        <v>2.82</v>
      </c>
      <c r="I35" s="12">
        <v>0</v>
      </c>
    </row>
    <row r="36" spans="2:9" ht="15" customHeight="1" x14ac:dyDescent="0.2">
      <c r="B36" t="s">
        <v>77</v>
      </c>
      <c r="C36" s="12">
        <v>4</v>
      </c>
      <c r="D36" s="8">
        <v>2</v>
      </c>
      <c r="E36" s="12">
        <v>3</v>
      </c>
      <c r="F36" s="8">
        <v>2.48</v>
      </c>
      <c r="G36" s="12">
        <v>1</v>
      </c>
      <c r="H36" s="8">
        <v>1.41</v>
      </c>
      <c r="I36" s="12">
        <v>0</v>
      </c>
    </row>
    <row r="37" spans="2:9" ht="15" customHeight="1" x14ac:dyDescent="0.2">
      <c r="B37" t="s">
        <v>114</v>
      </c>
      <c r="C37" s="12">
        <v>4</v>
      </c>
      <c r="D37" s="8">
        <v>2</v>
      </c>
      <c r="E37" s="12">
        <v>3</v>
      </c>
      <c r="F37" s="8">
        <v>2.48</v>
      </c>
      <c r="G37" s="12">
        <v>1</v>
      </c>
      <c r="H37" s="8">
        <v>1.41</v>
      </c>
      <c r="I37" s="12">
        <v>0</v>
      </c>
    </row>
    <row r="38" spans="2:9" ht="15" customHeight="1" x14ac:dyDescent="0.2">
      <c r="B38" t="s">
        <v>85</v>
      </c>
      <c r="C38" s="12">
        <v>4</v>
      </c>
      <c r="D38" s="8">
        <v>2</v>
      </c>
      <c r="E38" s="12">
        <v>0</v>
      </c>
      <c r="F38" s="8">
        <v>0</v>
      </c>
      <c r="G38" s="12">
        <v>4</v>
      </c>
      <c r="H38" s="8">
        <v>5.63</v>
      </c>
      <c r="I38" s="12">
        <v>0</v>
      </c>
    </row>
    <row r="39" spans="2:9" ht="15" customHeight="1" x14ac:dyDescent="0.2">
      <c r="B39" t="s">
        <v>92</v>
      </c>
      <c r="C39" s="12">
        <v>4</v>
      </c>
      <c r="D39" s="8">
        <v>2</v>
      </c>
      <c r="E39" s="12">
        <v>0</v>
      </c>
      <c r="F39" s="8">
        <v>0</v>
      </c>
      <c r="G39" s="12">
        <v>4</v>
      </c>
      <c r="H39" s="8">
        <v>5.63</v>
      </c>
      <c r="I39" s="12">
        <v>0</v>
      </c>
    </row>
    <row r="40" spans="2:9" ht="15" customHeight="1" x14ac:dyDescent="0.2">
      <c r="B40" t="s">
        <v>80</v>
      </c>
      <c r="C40" s="12">
        <v>3</v>
      </c>
      <c r="D40" s="8">
        <v>1.5</v>
      </c>
      <c r="E40" s="12">
        <v>3</v>
      </c>
      <c r="F40" s="8">
        <v>2.48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110</v>
      </c>
      <c r="C41" s="12">
        <v>2</v>
      </c>
      <c r="D41" s="8">
        <v>1</v>
      </c>
      <c r="E41" s="12">
        <v>1</v>
      </c>
      <c r="F41" s="8">
        <v>0.83</v>
      </c>
      <c r="G41" s="12">
        <v>1</v>
      </c>
      <c r="H41" s="8">
        <v>1.41</v>
      </c>
      <c r="I41" s="12">
        <v>0</v>
      </c>
    </row>
    <row r="42" spans="2:9" ht="15" customHeight="1" x14ac:dyDescent="0.2">
      <c r="B42" t="s">
        <v>111</v>
      </c>
      <c r="C42" s="12">
        <v>2</v>
      </c>
      <c r="D42" s="8">
        <v>1</v>
      </c>
      <c r="E42" s="12">
        <v>0</v>
      </c>
      <c r="F42" s="8">
        <v>0</v>
      </c>
      <c r="G42" s="12">
        <v>2</v>
      </c>
      <c r="H42" s="8">
        <v>2.82</v>
      </c>
      <c r="I42" s="12">
        <v>0</v>
      </c>
    </row>
    <row r="43" spans="2:9" ht="15" customHeight="1" x14ac:dyDescent="0.2">
      <c r="B43" t="s">
        <v>99</v>
      </c>
      <c r="C43" s="12">
        <v>2</v>
      </c>
      <c r="D43" s="8">
        <v>1</v>
      </c>
      <c r="E43" s="12">
        <v>1</v>
      </c>
      <c r="F43" s="8">
        <v>0.83</v>
      </c>
      <c r="G43" s="12">
        <v>1</v>
      </c>
      <c r="H43" s="8">
        <v>1.41</v>
      </c>
      <c r="I43" s="12">
        <v>0</v>
      </c>
    </row>
    <row r="44" spans="2:9" ht="15" customHeight="1" x14ac:dyDescent="0.2">
      <c r="B44" t="s">
        <v>94</v>
      </c>
      <c r="C44" s="12">
        <v>2</v>
      </c>
      <c r="D44" s="8">
        <v>1</v>
      </c>
      <c r="E44" s="12">
        <v>0</v>
      </c>
      <c r="F44" s="8">
        <v>0</v>
      </c>
      <c r="G44" s="12">
        <v>2</v>
      </c>
      <c r="H44" s="8">
        <v>2.82</v>
      </c>
      <c r="I44" s="12">
        <v>0</v>
      </c>
    </row>
    <row r="45" spans="2:9" ht="15" customHeight="1" x14ac:dyDescent="0.2">
      <c r="B45" t="s">
        <v>87</v>
      </c>
      <c r="C45" s="12">
        <v>2</v>
      </c>
      <c r="D45" s="8">
        <v>1</v>
      </c>
      <c r="E45" s="12">
        <v>2</v>
      </c>
      <c r="F45" s="8">
        <v>1.65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97</v>
      </c>
      <c r="C46" s="12">
        <v>2</v>
      </c>
      <c r="D46" s="8">
        <v>1</v>
      </c>
      <c r="E46" s="12">
        <v>0</v>
      </c>
      <c r="F46" s="8">
        <v>0</v>
      </c>
      <c r="G46" s="12">
        <v>2</v>
      </c>
      <c r="H46" s="8">
        <v>2.82</v>
      </c>
      <c r="I46" s="12">
        <v>0</v>
      </c>
    </row>
    <row r="49" spans="2:9" ht="33" customHeight="1" x14ac:dyDescent="0.2">
      <c r="B49" t="s">
        <v>283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151</v>
      </c>
      <c r="C50" s="12">
        <v>14</v>
      </c>
      <c r="D50" s="8">
        <v>7</v>
      </c>
      <c r="E50" s="12">
        <v>14</v>
      </c>
      <c r="F50" s="8">
        <v>11.57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135</v>
      </c>
      <c r="C51" s="12">
        <v>10</v>
      </c>
      <c r="D51" s="8">
        <v>5</v>
      </c>
      <c r="E51" s="12">
        <v>1</v>
      </c>
      <c r="F51" s="8">
        <v>0.83</v>
      </c>
      <c r="G51" s="12">
        <v>9</v>
      </c>
      <c r="H51" s="8">
        <v>12.68</v>
      </c>
      <c r="I51" s="12">
        <v>0</v>
      </c>
    </row>
    <row r="52" spans="2:9" ht="15" customHeight="1" x14ac:dyDescent="0.2">
      <c r="B52" t="s">
        <v>150</v>
      </c>
      <c r="C52" s="12">
        <v>9</v>
      </c>
      <c r="D52" s="8">
        <v>4.5</v>
      </c>
      <c r="E52" s="12">
        <v>9</v>
      </c>
      <c r="F52" s="8">
        <v>7.44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8</v>
      </c>
      <c r="D53" s="8">
        <v>4</v>
      </c>
      <c r="E53" s="12">
        <v>5</v>
      </c>
      <c r="F53" s="8">
        <v>4.13</v>
      </c>
      <c r="G53" s="12">
        <v>3</v>
      </c>
      <c r="H53" s="8">
        <v>4.2300000000000004</v>
      </c>
      <c r="I53" s="12">
        <v>0</v>
      </c>
    </row>
    <row r="54" spans="2:9" ht="15" customHeight="1" x14ac:dyDescent="0.2">
      <c r="B54" t="s">
        <v>140</v>
      </c>
      <c r="C54" s="12">
        <v>7</v>
      </c>
      <c r="D54" s="8">
        <v>3.5</v>
      </c>
      <c r="E54" s="12">
        <v>4</v>
      </c>
      <c r="F54" s="8">
        <v>3.31</v>
      </c>
      <c r="G54" s="12">
        <v>3</v>
      </c>
      <c r="H54" s="8">
        <v>4.2300000000000004</v>
      </c>
      <c r="I54" s="12">
        <v>0</v>
      </c>
    </row>
    <row r="55" spans="2:9" ht="15" customHeight="1" x14ac:dyDescent="0.2">
      <c r="B55" t="s">
        <v>202</v>
      </c>
      <c r="C55" s="12">
        <v>6</v>
      </c>
      <c r="D55" s="8">
        <v>3</v>
      </c>
      <c r="E55" s="12">
        <v>6</v>
      </c>
      <c r="F55" s="8">
        <v>4.96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252</v>
      </c>
      <c r="C56" s="12">
        <v>6</v>
      </c>
      <c r="D56" s="8">
        <v>3</v>
      </c>
      <c r="E56" s="12">
        <v>0</v>
      </c>
      <c r="F56" s="8">
        <v>0</v>
      </c>
      <c r="G56" s="12">
        <v>1</v>
      </c>
      <c r="H56" s="8">
        <v>1.41</v>
      </c>
      <c r="I56" s="12">
        <v>0</v>
      </c>
    </row>
    <row r="57" spans="2:9" ht="15" customHeight="1" x14ac:dyDescent="0.2">
      <c r="B57" t="s">
        <v>138</v>
      </c>
      <c r="C57" s="12">
        <v>5</v>
      </c>
      <c r="D57" s="8">
        <v>2.5</v>
      </c>
      <c r="E57" s="12">
        <v>2</v>
      </c>
      <c r="F57" s="8">
        <v>1.65</v>
      </c>
      <c r="G57" s="12">
        <v>3</v>
      </c>
      <c r="H57" s="8">
        <v>4.2300000000000004</v>
      </c>
      <c r="I57" s="12">
        <v>0</v>
      </c>
    </row>
    <row r="58" spans="2:9" ht="15" customHeight="1" x14ac:dyDescent="0.2">
      <c r="B58" t="s">
        <v>166</v>
      </c>
      <c r="C58" s="12">
        <v>5</v>
      </c>
      <c r="D58" s="8">
        <v>2.5</v>
      </c>
      <c r="E58" s="12">
        <v>4</v>
      </c>
      <c r="F58" s="8">
        <v>3.31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148</v>
      </c>
      <c r="C59" s="12">
        <v>5</v>
      </c>
      <c r="D59" s="8">
        <v>2.5</v>
      </c>
      <c r="E59" s="12">
        <v>5</v>
      </c>
      <c r="F59" s="8">
        <v>4.13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154</v>
      </c>
      <c r="C60" s="12">
        <v>5</v>
      </c>
      <c r="D60" s="8">
        <v>2.5</v>
      </c>
      <c r="E60" s="12">
        <v>3</v>
      </c>
      <c r="F60" s="8">
        <v>2.48</v>
      </c>
      <c r="G60" s="12">
        <v>2</v>
      </c>
      <c r="H60" s="8">
        <v>2.82</v>
      </c>
      <c r="I60" s="12">
        <v>0</v>
      </c>
    </row>
    <row r="61" spans="2:9" ht="15" customHeight="1" x14ac:dyDescent="0.2">
      <c r="B61" t="s">
        <v>184</v>
      </c>
      <c r="C61" s="12">
        <v>4</v>
      </c>
      <c r="D61" s="8">
        <v>2</v>
      </c>
      <c r="E61" s="12">
        <v>3</v>
      </c>
      <c r="F61" s="8">
        <v>2.48</v>
      </c>
      <c r="G61" s="12">
        <v>1</v>
      </c>
      <c r="H61" s="8">
        <v>1.41</v>
      </c>
      <c r="I61" s="12">
        <v>0</v>
      </c>
    </row>
    <row r="62" spans="2:9" ht="15" customHeight="1" x14ac:dyDescent="0.2">
      <c r="B62" t="s">
        <v>174</v>
      </c>
      <c r="C62" s="12">
        <v>4</v>
      </c>
      <c r="D62" s="8">
        <v>2</v>
      </c>
      <c r="E62" s="12">
        <v>4</v>
      </c>
      <c r="F62" s="8">
        <v>3.31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168</v>
      </c>
      <c r="C63" s="12">
        <v>4</v>
      </c>
      <c r="D63" s="8">
        <v>2</v>
      </c>
      <c r="E63" s="12">
        <v>0</v>
      </c>
      <c r="F63" s="8">
        <v>0</v>
      </c>
      <c r="G63" s="12">
        <v>4</v>
      </c>
      <c r="H63" s="8">
        <v>5.63</v>
      </c>
      <c r="I63" s="12">
        <v>0</v>
      </c>
    </row>
    <row r="64" spans="2:9" ht="15" customHeight="1" x14ac:dyDescent="0.2">
      <c r="B64" t="s">
        <v>143</v>
      </c>
      <c r="C64" s="12">
        <v>4</v>
      </c>
      <c r="D64" s="8">
        <v>2</v>
      </c>
      <c r="E64" s="12">
        <v>2</v>
      </c>
      <c r="F64" s="8">
        <v>1.65</v>
      </c>
      <c r="G64" s="12">
        <v>2</v>
      </c>
      <c r="H64" s="8">
        <v>2.82</v>
      </c>
      <c r="I64" s="12">
        <v>0</v>
      </c>
    </row>
    <row r="65" spans="2:9" ht="15" customHeight="1" x14ac:dyDescent="0.2">
      <c r="B65" t="s">
        <v>181</v>
      </c>
      <c r="C65" s="12">
        <v>4</v>
      </c>
      <c r="D65" s="8">
        <v>2</v>
      </c>
      <c r="E65" s="12">
        <v>3</v>
      </c>
      <c r="F65" s="8">
        <v>2.48</v>
      </c>
      <c r="G65" s="12">
        <v>1</v>
      </c>
      <c r="H65" s="8">
        <v>1.41</v>
      </c>
      <c r="I65" s="12">
        <v>0</v>
      </c>
    </row>
    <row r="66" spans="2:9" ht="15" customHeight="1" x14ac:dyDescent="0.2">
      <c r="B66" t="s">
        <v>147</v>
      </c>
      <c r="C66" s="12">
        <v>4</v>
      </c>
      <c r="D66" s="8">
        <v>2</v>
      </c>
      <c r="E66" s="12">
        <v>4</v>
      </c>
      <c r="F66" s="8">
        <v>3.31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187</v>
      </c>
      <c r="C67" s="12">
        <v>4</v>
      </c>
      <c r="D67" s="8">
        <v>2</v>
      </c>
      <c r="E67" s="12">
        <v>2</v>
      </c>
      <c r="F67" s="8">
        <v>1.65</v>
      </c>
      <c r="G67" s="12">
        <v>2</v>
      </c>
      <c r="H67" s="8">
        <v>2.82</v>
      </c>
      <c r="I67" s="12">
        <v>0</v>
      </c>
    </row>
    <row r="68" spans="2:9" ht="15" customHeight="1" x14ac:dyDescent="0.2">
      <c r="B68" t="s">
        <v>137</v>
      </c>
      <c r="C68" s="12">
        <v>3</v>
      </c>
      <c r="D68" s="8">
        <v>1.5</v>
      </c>
      <c r="E68" s="12">
        <v>3</v>
      </c>
      <c r="F68" s="8">
        <v>2.48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220</v>
      </c>
      <c r="C69" s="12">
        <v>3</v>
      </c>
      <c r="D69" s="8">
        <v>1.5</v>
      </c>
      <c r="E69" s="12">
        <v>3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163</v>
      </c>
      <c r="C70" s="12">
        <v>3</v>
      </c>
      <c r="D70" s="8">
        <v>1.5</v>
      </c>
      <c r="E70" s="12">
        <v>0</v>
      </c>
      <c r="F70" s="8">
        <v>0</v>
      </c>
      <c r="G70" s="12">
        <v>3</v>
      </c>
      <c r="H70" s="8">
        <v>4.2300000000000004</v>
      </c>
      <c r="I70" s="12">
        <v>0</v>
      </c>
    </row>
    <row r="71" spans="2:9" ht="15" customHeight="1" x14ac:dyDescent="0.2">
      <c r="B71" t="s">
        <v>199</v>
      </c>
      <c r="C71" s="12">
        <v>3</v>
      </c>
      <c r="D71" s="8">
        <v>1.5</v>
      </c>
      <c r="E71" s="12">
        <v>2</v>
      </c>
      <c r="F71" s="8">
        <v>1.65</v>
      </c>
      <c r="G71" s="12">
        <v>1</v>
      </c>
      <c r="H71" s="8">
        <v>1.41</v>
      </c>
      <c r="I71" s="12">
        <v>0</v>
      </c>
    </row>
    <row r="72" spans="2:9" ht="15" customHeight="1" x14ac:dyDescent="0.2">
      <c r="B72" t="s">
        <v>167</v>
      </c>
      <c r="C72" s="12">
        <v>3</v>
      </c>
      <c r="D72" s="8">
        <v>1.5</v>
      </c>
      <c r="E72" s="12">
        <v>3</v>
      </c>
      <c r="F72" s="8">
        <v>2.48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203</v>
      </c>
      <c r="C73" s="12">
        <v>3</v>
      </c>
      <c r="D73" s="8">
        <v>1.5</v>
      </c>
      <c r="E73" s="12">
        <v>3</v>
      </c>
      <c r="F73" s="8">
        <v>2.48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142</v>
      </c>
      <c r="C74" s="12">
        <v>3</v>
      </c>
      <c r="D74" s="8">
        <v>1.5</v>
      </c>
      <c r="E74" s="12">
        <v>1</v>
      </c>
      <c r="F74" s="8">
        <v>0.83</v>
      </c>
      <c r="G74" s="12">
        <v>2</v>
      </c>
      <c r="H74" s="8">
        <v>2.82</v>
      </c>
      <c r="I74" s="12">
        <v>0</v>
      </c>
    </row>
    <row r="75" spans="2:9" ht="15" customHeight="1" x14ac:dyDescent="0.2">
      <c r="B75" t="s">
        <v>204</v>
      </c>
      <c r="C75" s="12">
        <v>3</v>
      </c>
      <c r="D75" s="8">
        <v>1.5</v>
      </c>
      <c r="E75" s="12">
        <v>2</v>
      </c>
      <c r="F75" s="8">
        <v>1.65</v>
      </c>
      <c r="G75" s="12">
        <v>1</v>
      </c>
      <c r="H75" s="8">
        <v>1.41</v>
      </c>
      <c r="I75" s="12">
        <v>0</v>
      </c>
    </row>
    <row r="76" spans="2:9" ht="15" customHeight="1" x14ac:dyDescent="0.2">
      <c r="B76" t="s">
        <v>170</v>
      </c>
      <c r="C76" s="12">
        <v>3</v>
      </c>
      <c r="D76" s="8">
        <v>1.5</v>
      </c>
      <c r="E76" s="12">
        <v>3</v>
      </c>
      <c r="F76" s="8">
        <v>2.48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176</v>
      </c>
      <c r="C77" s="12">
        <v>3</v>
      </c>
      <c r="D77" s="8">
        <v>1.5</v>
      </c>
      <c r="E77" s="12">
        <v>0</v>
      </c>
      <c r="F77" s="8">
        <v>0</v>
      </c>
      <c r="G77" s="12">
        <v>3</v>
      </c>
      <c r="H77" s="8">
        <v>4.2300000000000004</v>
      </c>
      <c r="I77" s="12">
        <v>0</v>
      </c>
    </row>
    <row r="79" spans="2:9" ht="15" customHeight="1" x14ac:dyDescent="0.2">
      <c r="B7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21E1-02C7-4F0D-AC61-EA57A53330E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3</v>
      </c>
      <c r="D5" s="8">
        <v>0.02</v>
      </c>
      <c r="E5" s="12">
        <v>0</v>
      </c>
      <c r="F5" s="8">
        <v>0</v>
      </c>
      <c r="G5" s="12">
        <v>3</v>
      </c>
      <c r="H5" s="8">
        <v>0.03</v>
      </c>
      <c r="I5" s="12">
        <v>0</v>
      </c>
    </row>
    <row r="6" spans="2:9" ht="15" customHeight="1" x14ac:dyDescent="0.2">
      <c r="B6" t="s">
        <v>52</v>
      </c>
      <c r="C6" s="12">
        <v>2134</v>
      </c>
      <c r="D6" s="8">
        <v>12.86</v>
      </c>
      <c r="E6" s="12">
        <v>366</v>
      </c>
      <c r="F6" s="8">
        <v>5.23</v>
      </c>
      <c r="G6" s="12">
        <v>1768</v>
      </c>
      <c r="H6" s="8">
        <v>18.7</v>
      </c>
      <c r="I6" s="12">
        <v>0</v>
      </c>
    </row>
    <row r="7" spans="2:9" ht="15" customHeight="1" x14ac:dyDescent="0.2">
      <c r="B7" t="s">
        <v>53</v>
      </c>
      <c r="C7" s="12">
        <v>718</v>
      </c>
      <c r="D7" s="8">
        <v>4.33</v>
      </c>
      <c r="E7" s="12">
        <v>202</v>
      </c>
      <c r="F7" s="8">
        <v>2.89</v>
      </c>
      <c r="G7" s="12">
        <v>516</v>
      </c>
      <c r="H7" s="8">
        <v>5.46</v>
      </c>
      <c r="I7" s="12">
        <v>0</v>
      </c>
    </row>
    <row r="8" spans="2:9" ht="15" customHeight="1" x14ac:dyDescent="0.2">
      <c r="B8" t="s">
        <v>54</v>
      </c>
      <c r="C8" s="12">
        <v>52</v>
      </c>
      <c r="D8" s="8">
        <v>0.31</v>
      </c>
      <c r="E8" s="12">
        <v>0</v>
      </c>
      <c r="F8" s="8">
        <v>0</v>
      </c>
      <c r="G8" s="12">
        <v>52</v>
      </c>
      <c r="H8" s="8">
        <v>0.55000000000000004</v>
      </c>
      <c r="I8" s="12">
        <v>0</v>
      </c>
    </row>
    <row r="9" spans="2:9" ht="15" customHeight="1" x14ac:dyDescent="0.2">
      <c r="B9" t="s">
        <v>55</v>
      </c>
      <c r="C9" s="12">
        <v>175</v>
      </c>
      <c r="D9" s="8">
        <v>1.05</v>
      </c>
      <c r="E9" s="12">
        <v>7</v>
      </c>
      <c r="F9" s="8">
        <v>0.1</v>
      </c>
      <c r="G9" s="12">
        <v>168</v>
      </c>
      <c r="H9" s="8">
        <v>1.78</v>
      </c>
      <c r="I9" s="12">
        <v>0</v>
      </c>
    </row>
    <row r="10" spans="2:9" ht="15" customHeight="1" x14ac:dyDescent="0.2">
      <c r="B10" t="s">
        <v>56</v>
      </c>
      <c r="C10" s="12">
        <v>150</v>
      </c>
      <c r="D10" s="8">
        <v>0.9</v>
      </c>
      <c r="E10" s="12">
        <v>81</v>
      </c>
      <c r="F10" s="8">
        <v>1.1599999999999999</v>
      </c>
      <c r="G10" s="12">
        <v>69</v>
      </c>
      <c r="H10" s="8">
        <v>0.73</v>
      </c>
      <c r="I10" s="12">
        <v>0</v>
      </c>
    </row>
    <row r="11" spans="2:9" ht="15" customHeight="1" x14ac:dyDescent="0.2">
      <c r="B11" t="s">
        <v>57</v>
      </c>
      <c r="C11" s="12">
        <v>3894</v>
      </c>
      <c r="D11" s="8">
        <v>23.46</v>
      </c>
      <c r="E11" s="12">
        <v>1367</v>
      </c>
      <c r="F11" s="8">
        <v>19.53</v>
      </c>
      <c r="G11" s="12">
        <v>2525</v>
      </c>
      <c r="H11" s="8">
        <v>26.7</v>
      </c>
      <c r="I11" s="12">
        <v>2</v>
      </c>
    </row>
    <row r="12" spans="2:9" ht="15" customHeight="1" x14ac:dyDescent="0.2">
      <c r="B12" t="s">
        <v>58</v>
      </c>
      <c r="C12" s="12">
        <v>179</v>
      </c>
      <c r="D12" s="8">
        <v>1.08</v>
      </c>
      <c r="E12" s="12">
        <v>25</v>
      </c>
      <c r="F12" s="8">
        <v>0.36</v>
      </c>
      <c r="G12" s="12">
        <v>154</v>
      </c>
      <c r="H12" s="8">
        <v>1.63</v>
      </c>
      <c r="I12" s="12">
        <v>0</v>
      </c>
    </row>
    <row r="13" spans="2:9" ht="15" customHeight="1" x14ac:dyDescent="0.2">
      <c r="B13" t="s">
        <v>59</v>
      </c>
      <c r="C13" s="12">
        <v>2102</v>
      </c>
      <c r="D13" s="8">
        <v>12.67</v>
      </c>
      <c r="E13" s="12">
        <v>429</v>
      </c>
      <c r="F13" s="8">
        <v>6.13</v>
      </c>
      <c r="G13" s="12">
        <v>1665</v>
      </c>
      <c r="H13" s="8">
        <v>17.61</v>
      </c>
      <c r="I13" s="12">
        <v>6</v>
      </c>
    </row>
    <row r="14" spans="2:9" ht="15" customHeight="1" x14ac:dyDescent="0.2">
      <c r="B14" t="s">
        <v>60</v>
      </c>
      <c r="C14" s="12">
        <v>1332</v>
      </c>
      <c r="D14" s="8">
        <v>8.0299999999999994</v>
      </c>
      <c r="E14" s="12">
        <v>573</v>
      </c>
      <c r="F14" s="8">
        <v>8.19</v>
      </c>
      <c r="G14" s="12">
        <v>755</v>
      </c>
      <c r="H14" s="8">
        <v>7.98</v>
      </c>
      <c r="I14" s="12">
        <v>1</v>
      </c>
    </row>
    <row r="15" spans="2:9" ht="15" customHeight="1" x14ac:dyDescent="0.2">
      <c r="B15" t="s">
        <v>61</v>
      </c>
      <c r="C15" s="12">
        <v>1823</v>
      </c>
      <c r="D15" s="8">
        <v>10.99</v>
      </c>
      <c r="E15" s="12">
        <v>1378</v>
      </c>
      <c r="F15" s="8">
        <v>19.690000000000001</v>
      </c>
      <c r="G15" s="12">
        <v>443</v>
      </c>
      <c r="H15" s="8">
        <v>4.68</v>
      </c>
      <c r="I15" s="12">
        <v>0</v>
      </c>
    </row>
    <row r="16" spans="2:9" ht="15" customHeight="1" x14ac:dyDescent="0.2">
      <c r="B16" t="s">
        <v>62</v>
      </c>
      <c r="C16" s="12">
        <v>2027</v>
      </c>
      <c r="D16" s="8">
        <v>12.21</v>
      </c>
      <c r="E16" s="12">
        <v>1543</v>
      </c>
      <c r="F16" s="8">
        <v>22.04</v>
      </c>
      <c r="G16" s="12">
        <v>455</v>
      </c>
      <c r="H16" s="8">
        <v>4.8099999999999996</v>
      </c>
      <c r="I16" s="12">
        <v>2</v>
      </c>
    </row>
    <row r="17" spans="2:9" ht="15" customHeight="1" x14ac:dyDescent="0.2">
      <c r="B17" t="s">
        <v>63</v>
      </c>
      <c r="C17" s="12">
        <v>572</v>
      </c>
      <c r="D17" s="8">
        <v>3.45</v>
      </c>
      <c r="E17" s="12">
        <v>391</v>
      </c>
      <c r="F17" s="8">
        <v>5.59</v>
      </c>
      <c r="G17" s="12">
        <v>168</v>
      </c>
      <c r="H17" s="8">
        <v>1.78</v>
      </c>
      <c r="I17" s="12">
        <v>2</v>
      </c>
    </row>
    <row r="18" spans="2:9" ht="15" customHeight="1" x14ac:dyDescent="0.2">
      <c r="B18" t="s">
        <v>64</v>
      </c>
      <c r="C18" s="12">
        <v>749</v>
      </c>
      <c r="D18" s="8">
        <v>4.51</v>
      </c>
      <c r="E18" s="12">
        <v>437</v>
      </c>
      <c r="F18" s="8">
        <v>6.24</v>
      </c>
      <c r="G18" s="12">
        <v>275</v>
      </c>
      <c r="H18" s="8">
        <v>2.91</v>
      </c>
      <c r="I18" s="12">
        <v>0</v>
      </c>
    </row>
    <row r="19" spans="2:9" ht="15" customHeight="1" x14ac:dyDescent="0.2">
      <c r="B19" t="s">
        <v>65</v>
      </c>
      <c r="C19" s="12">
        <v>685</v>
      </c>
      <c r="D19" s="8">
        <v>4.13</v>
      </c>
      <c r="E19" s="12">
        <v>201</v>
      </c>
      <c r="F19" s="8">
        <v>2.87</v>
      </c>
      <c r="G19" s="12">
        <v>440</v>
      </c>
      <c r="H19" s="8">
        <v>4.6500000000000004</v>
      </c>
      <c r="I19" s="12">
        <v>41</v>
      </c>
    </row>
    <row r="20" spans="2:9" ht="15" customHeight="1" x14ac:dyDescent="0.2">
      <c r="B20" s="9" t="s">
        <v>281</v>
      </c>
      <c r="C20" s="12">
        <f>SUM(LTBL_43100[総数／事業所数])</f>
        <v>16595</v>
      </c>
      <c r="E20" s="12">
        <f>SUBTOTAL(109,LTBL_43100[個人／事業所数])</f>
        <v>7000</v>
      </c>
      <c r="G20" s="12">
        <f>SUBTOTAL(109,LTBL_43100[法人／事業所数])</f>
        <v>9456</v>
      </c>
      <c r="I20" s="12">
        <f>SUBTOTAL(109,LTBL_43100[法人以外の団体／事業所数])</f>
        <v>54</v>
      </c>
    </row>
    <row r="21" spans="2:9" ht="15" customHeight="1" x14ac:dyDescent="0.2">
      <c r="E21" s="11">
        <f>LTBL_43100[[#Totals],[個人／事業所数]]/LTBL_43100[[#Totals],[総数／事業所数]]</f>
        <v>0.42181379933714974</v>
      </c>
      <c r="G21" s="11">
        <f>LTBL_43100[[#Totals],[法人／事業所数]]/LTBL_43100[[#Totals],[総数／事業所数]]</f>
        <v>0.56981018379029824</v>
      </c>
      <c r="I21" s="11">
        <f>LTBL_43100[[#Totals],[法人以外の団体／事業所数]]/LTBL_43100[[#Totals],[総数／事業所数]]</f>
        <v>3.253992166315155E-3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1652</v>
      </c>
      <c r="D24" s="8">
        <v>9.9499999999999993</v>
      </c>
      <c r="E24" s="12">
        <v>1381</v>
      </c>
      <c r="F24" s="8">
        <v>19.73</v>
      </c>
      <c r="G24" s="12">
        <v>271</v>
      </c>
      <c r="H24" s="8">
        <v>2.87</v>
      </c>
      <c r="I24" s="12">
        <v>0</v>
      </c>
    </row>
    <row r="25" spans="2:9" ht="15" customHeight="1" x14ac:dyDescent="0.2">
      <c r="B25" t="s">
        <v>88</v>
      </c>
      <c r="C25" s="12">
        <v>1636</v>
      </c>
      <c r="D25" s="8">
        <v>9.86</v>
      </c>
      <c r="E25" s="12">
        <v>1312</v>
      </c>
      <c r="F25" s="8">
        <v>18.739999999999998</v>
      </c>
      <c r="G25" s="12">
        <v>324</v>
      </c>
      <c r="H25" s="8">
        <v>3.43</v>
      </c>
      <c r="I25" s="12">
        <v>0</v>
      </c>
    </row>
    <row r="26" spans="2:9" ht="15" customHeight="1" x14ac:dyDescent="0.2">
      <c r="B26" t="s">
        <v>85</v>
      </c>
      <c r="C26" s="12">
        <v>1555</v>
      </c>
      <c r="D26" s="8">
        <v>9.3699999999999992</v>
      </c>
      <c r="E26" s="12">
        <v>352</v>
      </c>
      <c r="F26" s="8">
        <v>5.03</v>
      </c>
      <c r="G26" s="12">
        <v>1196</v>
      </c>
      <c r="H26" s="8">
        <v>12.65</v>
      </c>
      <c r="I26" s="12">
        <v>5</v>
      </c>
    </row>
    <row r="27" spans="2:9" ht="15" customHeight="1" x14ac:dyDescent="0.2">
      <c r="B27" t="s">
        <v>83</v>
      </c>
      <c r="C27" s="12">
        <v>1028</v>
      </c>
      <c r="D27" s="8">
        <v>6.19</v>
      </c>
      <c r="E27" s="12">
        <v>424</v>
      </c>
      <c r="F27" s="8">
        <v>6.06</v>
      </c>
      <c r="G27" s="12">
        <v>603</v>
      </c>
      <c r="H27" s="8">
        <v>6.38</v>
      </c>
      <c r="I27" s="12">
        <v>1</v>
      </c>
    </row>
    <row r="28" spans="2:9" ht="15" customHeight="1" x14ac:dyDescent="0.2">
      <c r="B28" t="s">
        <v>74</v>
      </c>
      <c r="C28" s="12">
        <v>977</v>
      </c>
      <c r="D28" s="8">
        <v>5.89</v>
      </c>
      <c r="E28" s="12">
        <v>124</v>
      </c>
      <c r="F28" s="8">
        <v>1.77</v>
      </c>
      <c r="G28" s="12">
        <v>853</v>
      </c>
      <c r="H28" s="8">
        <v>9.02</v>
      </c>
      <c r="I28" s="12">
        <v>0</v>
      </c>
    </row>
    <row r="29" spans="2:9" ht="15" customHeight="1" x14ac:dyDescent="0.2">
      <c r="B29" t="s">
        <v>86</v>
      </c>
      <c r="C29" s="12">
        <v>765</v>
      </c>
      <c r="D29" s="8">
        <v>4.6100000000000003</v>
      </c>
      <c r="E29" s="12">
        <v>452</v>
      </c>
      <c r="F29" s="8">
        <v>6.46</v>
      </c>
      <c r="G29" s="12">
        <v>312</v>
      </c>
      <c r="H29" s="8">
        <v>3.3</v>
      </c>
      <c r="I29" s="12">
        <v>1</v>
      </c>
    </row>
    <row r="30" spans="2:9" ht="15" customHeight="1" x14ac:dyDescent="0.2">
      <c r="B30" t="s">
        <v>81</v>
      </c>
      <c r="C30" s="12">
        <v>630</v>
      </c>
      <c r="D30" s="8">
        <v>3.8</v>
      </c>
      <c r="E30" s="12">
        <v>372</v>
      </c>
      <c r="F30" s="8">
        <v>5.31</v>
      </c>
      <c r="G30" s="12">
        <v>257</v>
      </c>
      <c r="H30" s="8">
        <v>2.72</v>
      </c>
      <c r="I30" s="12">
        <v>1</v>
      </c>
    </row>
    <row r="31" spans="2:9" ht="15" customHeight="1" x14ac:dyDescent="0.2">
      <c r="B31" t="s">
        <v>76</v>
      </c>
      <c r="C31" s="12">
        <v>579</v>
      </c>
      <c r="D31" s="8">
        <v>3.49</v>
      </c>
      <c r="E31" s="12">
        <v>94</v>
      </c>
      <c r="F31" s="8">
        <v>1.34</v>
      </c>
      <c r="G31" s="12">
        <v>485</v>
      </c>
      <c r="H31" s="8">
        <v>5.13</v>
      </c>
      <c r="I31" s="12">
        <v>0</v>
      </c>
    </row>
    <row r="32" spans="2:9" ht="15" customHeight="1" x14ac:dyDescent="0.2">
      <c r="B32" t="s">
        <v>75</v>
      </c>
      <c r="C32" s="12">
        <v>578</v>
      </c>
      <c r="D32" s="8">
        <v>3.48</v>
      </c>
      <c r="E32" s="12">
        <v>148</v>
      </c>
      <c r="F32" s="8">
        <v>2.11</v>
      </c>
      <c r="G32" s="12">
        <v>430</v>
      </c>
      <c r="H32" s="8">
        <v>4.55</v>
      </c>
      <c r="I32" s="12">
        <v>0</v>
      </c>
    </row>
    <row r="33" spans="2:9" ht="15" customHeight="1" x14ac:dyDescent="0.2">
      <c r="B33" t="s">
        <v>90</v>
      </c>
      <c r="C33" s="12">
        <v>572</v>
      </c>
      <c r="D33" s="8">
        <v>3.45</v>
      </c>
      <c r="E33" s="12">
        <v>391</v>
      </c>
      <c r="F33" s="8">
        <v>5.59</v>
      </c>
      <c r="G33" s="12">
        <v>168</v>
      </c>
      <c r="H33" s="8">
        <v>1.78</v>
      </c>
      <c r="I33" s="12">
        <v>2</v>
      </c>
    </row>
    <row r="34" spans="2:9" ht="15" customHeight="1" x14ac:dyDescent="0.2">
      <c r="B34" t="s">
        <v>80</v>
      </c>
      <c r="C34" s="12">
        <v>533</v>
      </c>
      <c r="D34" s="8">
        <v>3.21</v>
      </c>
      <c r="E34" s="12">
        <v>173</v>
      </c>
      <c r="F34" s="8">
        <v>2.4700000000000002</v>
      </c>
      <c r="G34" s="12">
        <v>360</v>
      </c>
      <c r="H34" s="8">
        <v>3.81</v>
      </c>
      <c r="I34" s="12">
        <v>0</v>
      </c>
    </row>
    <row r="35" spans="2:9" ht="15" customHeight="1" x14ac:dyDescent="0.2">
      <c r="B35" t="s">
        <v>91</v>
      </c>
      <c r="C35" s="12">
        <v>510</v>
      </c>
      <c r="D35" s="8">
        <v>3.07</v>
      </c>
      <c r="E35" s="12">
        <v>432</v>
      </c>
      <c r="F35" s="8">
        <v>6.17</v>
      </c>
      <c r="G35" s="12">
        <v>78</v>
      </c>
      <c r="H35" s="8">
        <v>0.82</v>
      </c>
      <c r="I35" s="12">
        <v>0</v>
      </c>
    </row>
    <row r="36" spans="2:9" ht="15" customHeight="1" x14ac:dyDescent="0.2">
      <c r="B36" t="s">
        <v>87</v>
      </c>
      <c r="C36" s="12">
        <v>498</v>
      </c>
      <c r="D36" s="8">
        <v>3</v>
      </c>
      <c r="E36" s="12">
        <v>116</v>
      </c>
      <c r="F36" s="8">
        <v>1.66</v>
      </c>
      <c r="G36" s="12">
        <v>379</v>
      </c>
      <c r="H36" s="8">
        <v>4.01</v>
      </c>
      <c r="I36" s="12">
        <v>0</v>
      </c>
    </row>
    <row r="37" spans="2:9" ht="15" customHeight="1" x14ac:dyDescent="0.2">
      <c r="B37" t="s">
        <v>82</v>
      </c>
      <c r="C37" s="12">
        <v>495</v>
      </c>
      <c r="D37" s="8">
        <v>2.98</v>
      </c>
      <c r="E37" s="12">
        <v>273</v>
      </c>
      <c r="F37" s="8">
        <v>3.9</v>
      </c>
      <c r="G37" s="12">
        <v>222</v>
      </c>
      <c r="H37" s="8">
        <v>2.35</v>
      </c>
      <c r="I37" s="12">
        <v>0</v>
      </c>
    </row>
    <row r="38" spans="2:9" ht="15" customHeight="1" x14ac:dyDescent="0.2">
      <c r="B38" t="s">
        <v>84</v>
      </c>
      <c r="C38" s="12">
        <v>467</v>
      </c>
      <c r="D38" s="8">
        <v>2.81</v>
      </c>
      <c r="E38" s="12">
        <v>71</v>
      </c>
      <c r="F38" s="8">
        <v>1.01</v>
      </c>
      <c r="G38" s="12">
        <v>395</v>
      </c>
      <c r="H38" s="8">
        <v>4.18</v>
      </c>
      <c r="I38" s="12">
        <v>1</v>
      </c>
    </row>
    <row r="39" spans="2:9" ht="15" customHeight="1" x14ac:dyDescent="0.2">
      <c r="B39" t="s">
        <v>79</v>
      </c>
      <c r="C39" s="12">
        <v>328</v>
      </c>
      <c r="D39" s="8">
        <v>1.98</v>
      </c>
      <c r="E39" s="12">
        <v>13</v>
      </c>
      <c r="F39" s="8">
        <v>0.19</v>
      </c>
      <c r="G39" s="12">
        <v>315</v>
      </c>
      <c r="H39" s="8">
        <v>3.33</v>
      </c>
      <c r="I39" s="12">
        <v>0</v>
      </c>
    </row>
    <row r="40" spans="2:9" ht="15" customHeight="1" x14ac:dyDescent="0.2">
      <c r="B40" t="s">
        <v>94</v>
      </c>
      <c r="C40" s="12">
        <v>272</v>
      </c>
      <c r="D40" s="8">
        <v>1.64</v>
      </c>
      <c r="E40" s="12">
        <v>36</v>
      </c>
      <c r="F40" s="8">
        <v>0.51</v>
      </c>
      <c r="G40" s="12">
        <v>236</v>
      </c>
      <c r="H40" s="8">
        <v>2.5</v>
      </c>
      <c r="I40" s="12">
        <v>0</v>
      </c>
    </row>
    <row r="41" spans="2:9" ht="15" customHeight="1" x14ac:dyDescent="0.2">
      <c r="B41" t="s">
        <v>92</v>
      </c>
      <c r="C41" s="12">
        <v>239</v>
      </c>
      <c r="D41" s="8">
        <v>1.44</v>
      </c>
      <c r="E41" s="12">
        <v>5</v>
      </c>
      <c r="F41" s="8">
        <v>7.0000000000000007E-2</v>
      </c>
      <c r="G41" s="12">
        <v>197</v>
      </c>
      <c r="H41" s="8">
        <v>2.08</v>
      </c>
      <c r="I41" s="12">
        <v>0</v>
      </c>
    </row>
    <row r="42" spans="2:9" ht="15" customHeight="1" x14ac:dyDescent="0.2">
      <c r="B42" t="s">
        <v>95</v>
      </c>
      <c r="C42" s="12">
        <v>234</v>
      </c>
      <c r="D42" s="8">
        <v>1.41</v>
      </c>
      <c r="E42" s="12">
        <v>17</v>
      </c>
      <c r="F42" s="8">
        <v>0.24</v>
      </c>
      <c r="G42" s="12">
        <v>207</v>
      </c>
      <c r="H42" s="8">
        <v>2.19</v>
      </c>
      <c r="I42" s="12">
        <v>10</v>
      </c>
    </row>
    <row r="43" spans="2:9" ht="15" customHeight="1" x14ac:dyDescent="0.2">
      <c r="B43" t="s">
        <v>93</v>
      </c>
      <c r="C43" s="12">
        <v>219</v>
      </c>
      <c r="D43" s="8">
        <v>1.32</v>
      </c>
      <c r="E43" s="12">
        <v>140</v>
      </c>
      <c r="F43" s="8">
        <v>2</v>
      </c>
      <c r="G43" s="12">
        <v>79</v>
      </c>
      <c r="H43" s="8">
        <v>0.84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145</v>
      </c>
      <c r="C47" s="12">
        <v>864</v>
      </c>
      <c r="D47" s="8">
        <v>5.21</v>
      </c>
      <c r="E47" s="12">
        <v>268</v>
      </c>
      <c r="F47" s="8">
        <v>3.83</v>
      </c>
      <c r="G47" s="12">
        <v>596</v>
      </c>
      <c r="H47" s="8">
        <v>6.3</v>
      </c>
      <c r="I47" s="12">
        <v>0</v>
      </c>
    </row>
    <row r="48" spans="2:9" ht="15" customHeight="1" x14ac:dyDescent="0.2">
      <c r="B48" t="s">
        <v>151</v>
      </c>
      <c r="C48" s="12">
        <v>822</v>
      </c>
      <c r="D48" s="8">
        <v>4.95</v>
      </c>
      <c r="E48" s="12">
        <v>724</v>
      </c>
      <c r="F48" s="8">
        <v>10.34</v>
      </c>
      <c r="G48" s="12">
        <v>98</v>
      </c>
      <c r="H48" s="8">
        <v>1.04</v>
      </c>
      <c r="I48" s="12">
        <v>0</v>
      </c>
    </row>
    <row r="49" spans="2:9" ht="15" customHeight="1" x14ac:dyDescent="0.2">
      <c r="B49" t="s">
        <v>149</v>
      </c>
      <c r="C49" s="12">
        <v>478</v>
      </c>
      <c r="D49" s="8">
        <v>2.88</v>
      </c>
      <c r="E49" s="12">
        <v>419</v>
      </c>
      <c r="F49" s="8">
        <v>5.99</v>
      </c>
      <c r="G49" s="12">
        <v>59</v>
      </c>
      <c r="H49" s="8">
        <v>0.62</v>
      </c>
      <c r="I49" s="12">
        <v>0</v>
      </c>
    </row>
    <row r="50" spans="2:9" ht="15" customHeight="1" x14ac:dyDescent="0.2">
      <c r="B50" t="s">
        <v>147</v>
      </c>
      <c r="C50" s="12">
        <v>458</v>
      </c>
      <c r="D50" s="8">
        <v>2.76</v>
      </c>
      <c r="E50" s="12">
        <v>336</v>
      </c>
      <c r="F50" s="8">
        <v>4.8</v>
      </c>
      <c r="G50" s="12">
        <v>122</v>
      </c>
      <c r="H50" s="8">
        <v>1.29</v>
      </c>
      <c r="I50" s="12">
        <v>0</v>
      </c>
    </row>
    <row r="51" spans="2:9" ht="15" customHeight="1" x14ac:dyDescent="0.2">
      <c r="B51" t="s">
        <v>150</v>
      </c>
      <c r="C51" s="12">
        <v>443</v>
      </c>
      <c r="D51" s="8">
        <v>2.67</v>
      </c>
      <c r="E51" s="12">
        <v>406</v>
      </c>
      <c r="F51" s="8">
        <v>5.8</v>
      </c>
      <c r="G51" s="12">
        <v>37</v>
      </c>
      <c r="H51" s="8">
        <v>0.39</v>
      </c>
      <c r="I51" s="12">
        <v>0</v>
      </c>
    </row>
    <row r="52" spans="2:9" ht="15" customHeight="1" x14ac:dyDescent="0.2">
      <c r="B52" t="s">
        <v>152</v>
      </c>
      <c r="C52" s="12">
        <v>387</v>
      </c>
      <c r="D52" s="8">
        <v>2.33</v>
      </c>
      <c r="E52" s="12">
        <v>289</v>
      </c>
      <c r="F52" s="8">
        <v>4.13</v>
      </c>
      <c r="G52" s="12">
        <v>97</v>
      </c>
      <c r="H52" s="8">
        <v>1.03</v>
      </c>
      <c r="I52" s="12">
        <v>1</v>
      </c>
    </row>
    <row r="53" spans="2:9" ht="15" customHeight="1" x14ac:dyDescent="0.2">
      <c r="B53" t="s">
        <v>144</v>
      </c>
      <c r="C53" s="12">
        <v>384</v>
      </c>
      <c r="D53" s="8">
        <v>2.31</v>
      </c>
      <c r="E53" s="12">
        <v>28</v>
      </c>
      <c r="F53" s="8">
        <v>0.4</v>
      </c>
      <c r="G53" s="12">
        <v>351</v>
      </c>
      <c r="H53" s="8">
        <v>3.71</v>
      </c>
      <c r="I53" s="12">
        <v>5</v>
      </c>
    </row>
    <row r="54" spans="2:9" ht="15" customHeight="1" x14ac:dyDescent="0.2">
      <c r="B54" t="s">
        <v>146</v>
      </c>
      <c r="C54" s="12">
        <v>359</v>
      </c>
      <c r="D54" s="8">
        <v>2.16</v>
      </c>
      <c r="E54" s="12">
        <v>62</v>
      </c>
      <c r="F54" s="8">
        <v>0.89</v>
      </c>
      <c r="G54" s="12">
        <v>294</v>
      </c>
      <c r="H54" s="8">
        <v>3.11</v>
      </c>
      <c r="I54" s="12">
        <v>0</v>
      </c>
    </row>
    <row r="55" spans="2:9" ht="15" customHeight="1" x14ac:dyDescent="0.2">
      <c r="B55" t="s">
        <v>153</v>
      </c>
      <c r="C55" s="12">
        <v>359</v>
      </c>
      <c r="D55" s="8">
        <v>2.16</v>
      </c>
      <c r="E55" s="12">
        <v>312</v>
      </c>
      <c r="F55" s="8">
        <v>4.46</v>
      </c>
      <c r="G55" s="12">
        <v>47</v>
      </c>
      <c r="H55" s="8">
        <v>0.5</v>
      </c>
      <c r="I55" s="12">
        <v>0</v>
      </c>
    </row>
    <row r="56" spans="2:9" ht="15" customHeight="1" x14ac:dyDescent="0.2">
      <c r="B56" t="s">
        <v>148</v>
      </c>
      <c r="C56" s="12">
        <v>353</v>
      </c>
      <c r="D56" s="8">
        <v>2.13</v>
      </c>
      <c r="E56" s="12">
        <v>297</v>
      </c>
      <c r="F56" s="8">
        <v>4.24</v>
      </c>
      <c r="G56" s="12">
        <v>56</v>
      </c>
      <c r="H56" s="8">
        <v>0.59</v>
      </c>
      <c r="I56" s="12">
        <v>0</v>
      </c>
    </row>
    <row r="57" spans="2:9" ht="15" customHeight="1" x14ac:dyDescent="0.2">
      <c r="B57" t="s">
        <v>155</v>
      </c>
      <c r="C57" s="12">
        <v>351</v>
      </c>
      <c r="D57" s="8">
        <v>2.12</v>
      </c>
      <c r="E57" s="12">
        <v>61</v>
      </c>
      <c r="F57" s="8">
        <v>0.87</v>
      </c>
      <c r="G57" s="12">
        <v>289</v>
      </c>
      <c r="H57" s="8">
        <v>3.06</v>
      </c>
      <c r="I57" s="12">
        <v>1</v>
      </c>
    </row>
    <row r="58" spans="2:9" ht="15" customHeight="1" x14ac:dyDescent="0.2">
      <c r="B58" t="s">
        <v>143</v>
      </c>
      <c r="C58" s="12">
        <v>332</v>
      </c>
      <c r="D58" s="8">
        <v>2</v>
      </c>
      <c r="E58" s="12">
        <v>199</v>
      </c>
      <c r="F58" s="8">
        <v>2.84</v>
      </c>
      <c r="G58" s="12">
        <v>133</v>
      </c>
      <c r="H58" s="8">
        <v>1.41</v>
      </c>
      <c r="I58" s="12">
        <v>0</v>
      </c>
    </row>
    <row r="59" spans="2:9" ht="15" customHeight="1" x14ac:dyDescent="0.2">
      <c r="B59" t="s">
        <v>135</v>
      </c>
      <c r="C59" s="12">
        <v>326</v>
      </c>
      <c r="D59" s="8">
        <v>1.96</v>
      </c>
      <c r="E59" s="12">
        <v>29</v>
      </c>
      <c r="F59" s="8">
        <v>0.41</v>
      </c>
      <c r="G59" s="12">
        <v>297</v>
      </c>
      <c r="H59" s="8">
        <v>3.14</v>
      </c>
      <c r="I59" s="12">
        <v>0</v>
      </c>
    </row>
    <row r="60" spans="2:9" ht="15" customHeight="1" x14ac:dyDescent="0.2">
      <c r="B60" t="s">
        <v>141</v>
      </c>
      <c r="C60" s="12">
        <v>317</v>
      </c>
      <c r="D60" s="8">
        <v>1.91</v>
      </c>
      <c r="E60" s="12">
        <v>173</v>
      </c>
      <c r="F60" s="8">
        <v>2.4700000000000002</v>
      </c>
      <c r="G60" s="12">
        <v>144</v>
      </c>
      <c r="H60" s="8">
        <v>1.52</v>
      </c>
      <c r="I60" s="12">
        <v>0</v>
      </c>
    </row>
    <row r="61" spans="2:9" ht="15" customHeight="1" x14ac:dyDescent="0.2">
      <c r="B61" t="s">
        <v>142</v>
      </c>
      <c r="C61" s="12">
        <v>276</v>
      </c>
      <c r="D61" s="8">
        <v>1.66</v>
      </c>
      <c r="E61" s="12">
        <v>64</v>
      </c>
      <c r="F61" s="8">
        <v>0.91</v>
      </c>
      <c r="G61" s="12">
        <v>212</v>
      </c>
      <c r="H61" s="8">
        <v>2.2400000000000002</v>
      </c>
      <c r="I61" s="12">
        <v>0</v>
      </c>
    </row>
    <row r="62" spans="2:9" ht="15" customHeight="1" x14ac:dyDescent="0.2">
      <c r="B62" t="s">
        <v>140</v>
      </c>
      <c r="C62" s="12">
        <v>275</v>
      </c>
      <c r="D62" s="8">
        <v>1.66</v>
      </c>
      <c r="E62" s="12">
        <v>150</v>
      </c>
      <c r="F62" s="8">
        <v>2.14</v>
      </c>
      <c r="G62" s="12">
        <v>124</v>
      </c>
      <c r="H62" s="8">
        <v>1.31</v>
      </c>
      <c r="I62" s="12">
        <v>1</v>
      </c>
    </row>
    <row r="63" spans="2:9" ht="15" customHeight="1" x14ac:dyDescent="0.2">
      <c r="B63" t="s">
        <v>139</v>
      </c>
      <c r="C63" s="12">
        <v>272</v>
      </c>
      <c r="D63" s="8">
        <v>1.64</v>
      </c>
      <c r="E63" s="12">
        <v>99</v>
      </c>
      <c r="F63" s="8">
        <v>1.41</v>
      </c>
      <c r="G63" s="12">
        <v>173</v>
      </c>
      <c r="H63" s="8">
        <v>1.83</v>
      </c>
      <c r="I63" s="12">
        <v>0</v>
      </c>
    </row>
    <row r="64" spans="2:9" ht="15" customHeight="1" x14ac:dyDescent="0.2">
      <c r="B64" t="s">
        <v>136</v>
      </c>
      <c r="C64" s="12">
        <v>252</v>
      </c>
      <c r="D64" s="8">
        <v>1.52</v>
      </c>
      <c r="E64" s="12">
        <v>25</v>
      </c>
      <c r="F64" s="8">
        <v>0.36</v>
      </c>
      <c r="G64" s="12">
        <v>227</v>
      </c>
      <c r="H64" s="8">
        <v>2.4</v>
      </c>
      <c r="I64" s="12">
        <v>0</v>
      </c>
    </row>
    <row r="65" spans="2:9" ht="15" customHeight="1" x14ac:dyDescent="0.2">
      <c r="B65" t="s">
        <v>138</v>
      </c>
      <c r="C65" s="12">
        <v>249</v>
      </c>
      <c r="D65" s="8">
        <v>1.5</v>
      </c>
      <c r="E65" s="12">
        <v>51</v>
      </c>
      <c r="F65" s="8">
        <v>0.73</v>
      </c>
      <c r="G65" s="12">
        <v>198</v>
      </c>
      <c r="H65" s="8">
        <v>2.09</v>
      </c>
      <c r="I65" s="12">
        <v>0</v>
      </c>
    </row>
    <row r="66" spans="2:9" ht="15" customHeight="1" x14ac:dyDescent="0.2">
      <c r="B66" t="s">
        <v>154</v>
      </c>
      <c r="C66" s="12">
        <v>219</v>
      </c>
      <c r="D66" s="8">
        <v>1.32</v>
      </c>
      <c r="E66" s="12">
        <v>140</v>
      </c>
      <c r="F66" s="8">
        <v>2</v>
      </c>
      <c r="G66" s="12">
        <v>79</v>
      </c>
      <c r="H66" s="8">
        <v>0.84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E063-5B7B-48B1-B333-9B44A1F11FF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390</v>
      </c>
      <c r="D6" s="8">
        <v>6.17</v>
      </c>
      <c r="E6" s="12">
        <v>33</v>
      </c>
      <c r="F6" s="8">
        <v>1.2</v>
      </c>
      <c r="G6" s="12">
        <v>357</v>
      </c>
      <c r="H6" s="8">
        <v>10.119999999999999</v>
      </c>
      <c r="I6" s="12">
        <v>0</v>
      </c>
    </row>
    <row r="7" spans="2:9" ht="15" customHeight="1" x14ac:dyDescent="0.2">
      <c r="B7" t="s">
        <v>53</v>
      </c>
      <c r="C7" s="12">
        <v>169</v>
      </c>
      <c r="D7" s="8">
        <v>2.68</v>
      </c>
      <c r="E7" s="12">
        <v>44</v>
      </c>
      <c r="F7" s="8">
        <v>1.59</v>
      </c>
      <c r="G7" s="12">
        <v>125</v>
      </c>
      <c r="H7" s="8">
        <v>3.55</v>
      </c>
      <c r="I7" s="12">
        <v>0</v>
      </c>
    </row>
    <row r="8" spans="2:9" ht="15" customHeight="1" x14ac:dyDescent="0.2">
      <c r="B8" t="s">
        <v>54</v>
      </c>
      <c r="C8" s="12">
        <v>12</v>
      </c>
      <c r="D8" s="8">
        <v>0.19</v>
      </c>
      <c r="E8" s="12">
        <v>0</v>
      </c>
      <c r="F8" s="8">
        <v>0</v>
      </c>
      <c r="G8" s="12">
        <v>12</v>
      </c>
      <c r="H8" s="8">
        <v>0.34</v>
      </c>
      <c r="I8" s="12">
        <v>0</v>
      </c>
    </row>
    <row r="9" spans="2:9" ht="15" customHeight="1" x14ac:dyDescent="0.2">
      <c r="B9" t="s">
        <v>55</v>
      </c>
      <c r="C9" s="12">
        <v>91</v>
      </c>
      <c r="D9" s="8">
        <v>1.44</v>
      </c>
      <c r="E9" s="12">
        <v>3</v>
      </c>
      <c r="F9" s="8">
        <v>0.11</v>
      </c>
      <c r="G9" s="12">
        <v>88</v>
      </c>
      <c r="H9" s="8">
        <v>2.5</v>
      </c>
      <c r="I9" s="12">
        <v>0</v>
      </c>
    </row>
    <row r="10" spans="2:9" ht="15" customHeight="1" x14ac:dyDescent="0.2">
      <c r="B10" t="s">
        <v>56</v>
      </c>
      <c r="C10" s="12">
        <v>29</v>
      </c>
      <c r="D10" s="8">
        <v>0.46</v>
      </c>
      <c r="E10" s="12">
        <v>13</v>
      </c>
      <c r="F10" s="8">
        <v>0.47</v>
      </c>
      <c r="G10" s="12">
        <v>16</v>
      </c>
      <c r="H10" s="8">
        <v>0.45</v>
      </c>
      <c r="I10" s="12">
        <v>0</v>
      </c>
    </row>
    <row r="11" spans="2:9" ht="15" customHeight="1" x14ac:dyDescent="0.2">
      <c r="B11" t="s">
        <v>57</v>
      </c>
      <c r="C11" s="12">
        <v>1462</v>
      </c>
      <c r="D11" s="8">
        <v>23.15</v>
      </c>
      <c r="E11" s="12">
        <v>478</v>
      </c>
      <c r="F11" s="8">
        <v>17.32</v>
      </c>
      <c r="G11" s="12">
        <v>984</v>
      </c>
      <c r="H11" s="8">
        <v>27.91</v>
      </c>
      <c r="I11" s="12">
        <v>0</v>
      </c>
    </row>
    <row r="12" spans="2:9" ht="15" customHeight="1" x14ac:dyDescent="0.2">
      <c r="B12" t="s">
        <v>58</v>
      </c>
      <c r="C12" s="12">
        <v>75</v>
      </c>
      <c r="D12" s="8">
        <v>1.19</v>
      </c>
      <c r="E12" s="12">
        <v>4</v>
      </c>
      <c r="F12" s="8">
        <v>0.14000000000000001</v>
      </c>
      <c r="G12" s="12">
        <v>71</v>
      </c>
      <c r="H12" s="8">
        <v>2.0099999999999998</v>
      </c>
      <c r="I12" s="12">
        <v>0</v>
      </c>
    </row>
    <row r="13" spans="2:9" ht="15" customHeight="1" x14ac:dyDescent="0.2">
      <c r="B13" t="s">
        <v>59</v>
      </c>
      <c r="C13" s="12">
        <v>953</v>
      </c>
      <c r="D13" s="8">
        <v>15.09</v>
      </c>
      <c r="E13" s="12">
        <v>185</v>
      </c>
      <c r="F13" s="8">
        <v>6.7</v>
      </c>
      <c r="G13" s="12">
        <v>766</v>
      </c>
      <c r="H13" s="8">
        <v>21.72</v>
      </c>
      <c r="I13" s="12">
        <v>2</v>
      </c>
    </row>
    <row r="14" spans="2:9" ht="15" customHeight="1" x14ac:dyDescent="0.2">
      <c r="B14" t="s">
        <v>60</v>
      </c>
      <c r="C14" s="12">
        <v>591</v>
      </c>
      <c r="D14" s="8">
        <v>9.36</v>
      </c>
      <c r="E14" s="12">
        <v>254</v>
      </c>
      <c r="F14" s="8">
        <v>9.1999999999999993</v>
      </c>
      <c r="G14" s="12">
        <v>335</v>
      </c>
      <c r="H14" s="8">
        <v>9.5</v>
      </c>
      <c r="I14" s="12">
        <v>1</v>
      </c>
    </row>
    <row r="15" spans="2:9" ht="15" customHeight="1" x14ac:dyDescent="0.2">
      <c r="B15" t="s">
        <v>61</v>
      </c>
      <c r="C15" s="12">
        <v>1185</v>
      </c>
      <c r="D15" s="8">
        <v>18.760000000000002</v>
      </c>
      <c r="E15" s="12">
        <v>903</v>
      </c>
      <c r="F15" s="8">
        <v>32.72</v>
      </c>
      <c r="G15" s="12">
        <v>282</v>
      </c>
      <c r="H15" s="8">
        <v>8</v>
      </c>
      <c r="I15" s="12">
        <v>0</v>
      </c>
    </row>
    <row r="16" spans="2:9" ht="15" customHeight="1" x14ac:dyDescent="0.2">
      <c r="B16" t="s">
        <v>62</v>
      </c>
      <c r="C16" s="12">
        <v>717</v>
      </c>
      <c r="D16" s="8">
        <v>11.35</v>
      </c>
      <c r="E16" s="12">
        <v>526</v>
      </c>
      <c r="F16" s="8">
        <v>19.059999999999999</v>
      </c>
      <c r="G16" s="12">
        <v>183</v>
      </c>
      <c r="H16" s="8">
        <v>5.19</v>
      </c>
      <c r="I16" s="12">
        <v>2</v>
      </c>
    </row>
    <row r="17" spans="2:9" ht="15" customHeight="1" x14ac:dyDescent="0.2">
      <c r="B17" t="s">
        <v>63</v>
      </c>
      <c r="C17" s="12">
        <v>202</v>
      </c>
      <c r="D17" s="8">
        <v>3.2</v>
      </c>
      <c r="E17" s="12">
        <v>128</v>
      </c>
      <c r="F17" s="8">
        <v>4.6399999999999997</v>
      </c>
      <c r="G17" s="12">
        <v>70</v>
      </c>
      <c r="H17" s="8">
        <v>1.99</v>
      </c>
      <c r="I17" s="12">
        <v>1</v>
      </c>
    </row>
    <row r="18" spans="2:9" ht="15" customHeight="1" x14ac:dyDescent="0.2">
      <c r="B18" t="s">
        <v>64</v>
      </c>
      <c r="C18" s="12">
        <v>241</v>
      </c>
      <c r="D18" s="8">
        <v>3.82</v>
      </c>
      <c r="E18" s="12">
        <v>152</v>
      </c>
      <c r="F18" s="8">
        <v>5.51</v>
      </c>
      <c r="G18" s="12">
        <v>84</v>
      </c>
      <c r="H18" s="8">
        <v>2.38</v>
      </c>
      <c r="I18" s="12">
        <v>0</v>
      </c>
    </row>
    <row r="19" spans="2:9" ht="15" customHeight="1" x14ac:dyDescent="0.2">
      <c r="B19" t="s">
        <v>65</v>
      </c>
      <c r="C19" s="12">
        <v>199</v>
      </c>
      <c r="D19" s="8">
        <v>3.15</v>
      </c>
      <c r="E19" s="12">
        <v>37</v>
      </c>
      <c r="F19" s="8">
        <v>1.34</v>
      </c>
      <c r="G19" s="12">
        <v>153</v>
      </c>
      <c r="H19" s="8">
        <v>4.34</v>
      </c>
      <c r="I19" s="12">
        <v>9</v>
      </c>
    </row>
    <row r="20" spans="2:9" ht="15" customHeight="1" x14ac:dyDescent="0.2">
      <c r="B20" s="9" t="s">
        <v>281</v>
      </c>
      <c r="C20" s="12">
        <f>SUM(LTBL_43101[総数／事業所数])</f>
        <v>6316</v>
      </c>
      <c r="E20" s="12">
        <f>SUBTOTAL(109,LTBL_43101[個人／事業所数])</f>
        <v>2760</v>
      </c>
      <c r="G20" s="12">
        <f>SUBTOTAL(109,LTBL_43101[法人／事業所数])</f>
        <v>3526</v>
      </c>
      <c r="I20" s="12">
        <f>SUBTOTAL(109,LTBL_43101[法人以外の団体／事業所数])</f>
        <v>15</v>
      </c>
    </row>
    <row r="21" spans="2:9" ht="15" customHeight="1" x14ac:dyDescent="0.2">
      <c r="E21" s="11">
        <f>LTBL_43101[[#Totals],[個人／事業所数]]/LTBL_43101[[#Totals],[総数／事業所数]]</f>
        <v>0.43698543381887273</v>
      </c>
      <c r="G21" s="11">
        <f>LTBL_43101[[#Totals],[法人／事業所数]]/LTBL_43101[[#Totals],[総数／事業所数]]</f>
        <v>0.55826472450918307</v>
      </c>
      <c r="I21" s="11">
        <f>LTBL_43101[[#Totals],[法人以外の団体／事業所数]]/LTBL_43101[[#Totals],[総数／事業所数]]</f>
        <v>2.3749208359721344E-3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1101</v>
      </c>
      <c r="D24" s="8">
        <v>17.43</v>
      </c>
      <c r="E24" s="12">
        <v>874</v>
      </c>
      <c r="F24" s="8">
        <v>31.67</v>
      </c>
      <c r="G24" s="12">
        <v>227</v>
      </c>
      <c r="H24" s="8">
        <v>6.44</v>
      </c>
      <c r="I24" s="12">
        <v>0</v>
      </c>
    </row>
    <row r="25" spans="2:9" ht="15" customHeight="1" x14ac:dyDescent="0.2">
      <c r="B25" t="s">
        <v>85</v>
      </c>
      <c r="C25" s="12">
        <v>719</v>
      </c>
      <c r="D25" s="8">
        <v>11.38</v>
      </c>
      <c r="E25" s="12">
        <v>165</v>
      </c>
      <c r="F25" s="8">
        <v>5.98</v>
      </c>
      <c r="G25" s="12">
        <v>553</v>
      </c>
      <c r="H25" s="8">
        <v>15.68</v>
      </c>
      <c r="I25" s="12">
        <v>1</v>
      </c>
    </row>
    <row r="26" spans="2:9" ht="15" customHeight="1" x14ac:dyDescent="0.2">
      <c r="B26" t="s">
        <v>89</v>
      </c>
      <c r="C26" s="12">
        <v>579</v>
      </c>
      <c r="D26" s="8">
        <v>9.17</v>
      </c>
      <c r="E26" s="12">
        <v>477</v>
      </c>
      <c r="F26" s="8">
        <v>17.28</v>
      </c>
      <c r="G26" s="12">
        <v>102</v>
      </c>
      <c r="H26" s="8">
        <v>2.89</v>
      </c>
      <c r="I26" s="12">
        <v>0</v>
      </c>
    </row>
    <row r="27" spans="2:9" ht="15" customHeight="1" x14ac:dyDescent="0.2">
      <c r="B27" t="s">
        <v>83</v>
      </c>
      <c r="C27" s="12">
        <v>438</v>
      </c>
      <c r="D27" s="8">
        <v>6.93</v>
      </c>
      <c r="E27" s="12">
        <v>195</v>
      </c>
      <c r="F27" s="8">
        <v>7.07</v>
      </c>
      <c r="G27" s="12">
        <v>243</v>
      </c>
      <c r="H27" s="8">
        <v>6.89</v>
      </c>
      <c r="I27" s="12">
        <v>0</v>
      </c>
    </row>
    <row r="28" spans="2:9" ht="15" customHeight="1" x14ac:dyDescent="0.2">
      <c r="B28" t="s">
        <v>86</v>
      </c>
      <c r="C28" s="12">
        <v>364</v>
      </c>
      <c r="D28" s="8">
        <v>5.76</v>
      </c>
      <c r="E28" s="12">
        <v>221</v>
      </c>
      <c r="F28" s="8">
        <v>8.01</v>
      </c>
      <c r="G28" s="12">
        <v>142</v>
      </c>
      <c r="H28" s="8">
        <v>4.03</v>
      </c>
      <c r="I28" s="12">
        <v>1</v>
      </c>
    </row>
    <row r="29" spans="2:9" ht="15" customHeight="1" x14ac:dyDescent="0.2">
      <c r="B29" t="s">
        <v>80</v>
      </c>
      <c r="C29" s="12">
        <v>311</v>
      </c>
      <c r="D29" s="8">
        <v>4.92</v>
      </c>
      <c r="E29" s="12">
        <v>91</v>
      </c>
      <c r="F29" s="8">
        <v>3.3</v>
      </c>
      <c r="G29" s="12">
        <v>220</v>
      </c>
      <c r="H29" s="8">
        <v>6.24</v>
      </c>
      <c r="I29" s="12">
        <v>0</v>
      </c>
    </row>
    <row r="30" spans="2:9" ht="15" customHeight="1" x14ac:dyDescent="0.2">
      <c r="B30" t="s">
        <v>81</v>
      </c>
      <c r="C30" s="12">
        <v>213</v>
      </c>
      <c r="D30" s="8">
        <v>3.37</v>
      </c>
      <c r="E30" s="12">
        <v>116</v>
      </c>
      <c r="F30" s="8">
        <v>4.2</v>
      </c>
      <c r="G30" s="12">
        <v>97</v>
      </c>
      <c r="H30" s="8">
        <v>2.75</v>
      </c>
      <c r="I30" s="12">
        <v>0</v>
      </c>
    </row>
    <row r="31" spans="2:9" ht="15" customHeight="1" x14ac:dyDescent="0.2">
      <c r="B31" t="s">
        <v>84</v>
      </c>
      <c r="C31" s="12">
        <v>207</v>
      </c>
      <c r="D31" s="8">
        <v>3.28</v>
      </c>
      <c r="E31" s="12">
        <v>20</v>
      </c>
      <c r="F31" s="8">
        <v>0.72</v>
      </c>
      <c r="G31" s="12">
        <v>186</v>
      </c>
      <c r="H31" s="8">
        <v>5.28</v>
      </c>
      <c r="I31" s="12">
        <v>1</v>
      </c>
    </row>
    <row r="32" spans="2:9" ht="15" customHeight="1" x14ac:dyDescent="0.2">
      <c r="B32" t="s">
        <v>90</v>
      </c>
      <c r="C32" s="12">
        <v>202</v>
      </c>
      <c r="D32" s="8">
        <v>3.2</v>
      </c>
      <c r="E32" s="12">
        <v>128</v>
      </c>
      <c r="F32" s="8">
        <v>4.6399999999999997</v>
      </c>
      <c r="G32" s="12">
        <v>70</v>
      </c>
      <c r="H32" s="8">
        <v>1.99</v>
      </c>
      <c r="I32" s="12">
        <v>1</v>
      </c>
    </row>
    <row r="33" spans="2:9" ht="15" customHeight="1" x14ac:dyDescent="0.2">
      <c r="B33" t="s">
        <v>74</v>
      </c>
      <c r="C33" s="12">
        <v>198</v>
      </c>
      <c r="D33" s="8">
        <v>3.13</v>
      </c>
      <c r="E33" s="12">
        <v>14</v>
      </c>
      <c r="F33" s="8">
        <v>0.51</v>
      </c>
      <c r="G33" s="12">
        <v>184</v>
      </c>
      <c r="H33" s="8">
        <v>5.22</v>
      </c>
      <c r="I33" s="12">
        <v>0</v>
      </c>
    </row>
    <row r="34" spans="2:9" ht="15" customHeight="1" x14ac:dyDescent="0.2">
      <c r="B34" t="s">
        <v>87</v>
      </c>
      <c r="C34" s="12">
        <v>192</v>
      </c>
      <c r="D34" s="8">
        <v>3.04</v>
      </c>
      <c r="E34" s="12">
        <v>33</v>
      </c>
      <c r="F34" s="8">
        <v>1.2</v>
      </c>
      <c r="G34" s="12">
        <v>158</v>
      </c>
      <c r="H34" s="8">
        <v>4.4800000000000004</v>
      </c>
      <c r="I34" s="12">
        <v>0</v>
      </c>
    </row>
    <row r="35" spans="2:9" ht="15" customHeight="1" x14ac:dyDescent="0.2">
      <c r="B35" t="s">
        <v>91</v>
      </c>
      <c r="C35" s="12">
        <v>182</v>
      </c>
      <c r="D35" s="8">
        <v>2.88</v>
      </c>
      <c r="E35" s="12">
        <v>150</v>
      </c>
      <c r="F35" s="8">
        <v>5.43</v>
      </c>
      <c r="G35" s="12">
        <v>32</v>
      </c>
      <c r="H35" s="8">
        <v>0.91</v>
      </c>
      <c r="I35" s="12">
        <v>0</v>
      </c>
    </row>
    <row r="36" spans="2:9" ht="15" customHeight="1" x14ac:dyDescent="0.2">
      <c r="B36" t="s">
        <v>79</v>
      </c>
      <c r="C36" s="12">
        <v>126</v>
      </c>
      <c r="D36" s="8">
        <v>1.99</v>
      </c>
      <c r="E36" s="12">
        <v>3</v>
      </c>
      <c r="F36" s="8">
        <v>0.11</v>
      </c>
      <c r="G36" s="12">
        <v>123</v>
      </c>
      <c r="H36" s="8">
        <v>3.49</v>
      </c>
      <c r="I36" s="12">
        <v>0</v>
      </c>
    </row>
    <row r="37" spans="2:9" ht="15" customHeight="1" x14ac:dyDescent="0.2">
      <c r="B37" t="s">
        <v>76</v>
      </c>
      <c r="C37" s="12">
        <v>101</v>
      </c>
      <c r="D37" s="8">
        <v>1.6</v>
      </c>
      <c r="E37" s="12">
        <v>6</v>
      </c>
      <c r="F37" s="8">
        <v>0.22</v>
      </c>
      <c r="G37" s="12">
        <v>95</v>
      </c>
      <c r="H37" s="8">
        <v>2.69</v>
      </c>
      <c r="I37" s="12">
        <v>0</v>
      </c>
    </row>
    <row r="38" spans="2:9" ht="15" customHeight="1" x14ac:dyDescent="0.2">
      <c r="B38" t="s">
        <v>94</v>
      </c>
      <c r="C38" s="12">
        <v>99</v>
      </c>
      <c r="D38" s="8">
        <v>1.57</v>
      </c>
      <c r="E38" s="12">
        <v>9</v>
      </c>
      <c r="F38" s="8">
        <v>0.33</v>
      </c>
      <c r="G38" s="12">
        <v>90</v>
      </c>
      <c r="H38" s="8">
        <v>2.5499999999999998</v>
      </c>
      <c r="I38" s="12">
        <v>0</v>
      </c>
    </row>
    <row r="39" spans="2:9" ht="15" customHeight="1" x14ac:dyDescent="0.2">
      <c r="B39" t="s">
        <v>82</v>
      </c>
      <c r="C39" s="12">
        <v>92</v>
      </c>
      <c r="D39" s="8">
        <v>1.46</v>
      </c>
      <c r="E39" s="12">
        <v>45</v>
      </c>
      <c r="F39" s="8">
        <v>1.63</v>
      </c>
      <c r="G39" s="12">
        <v>47</v>
      </c>
      <c r="H39" s="8">
        <v>1.33</v>
      </c>
      <c r="I39" s="12">
        <v>0</v>
      </c>
    </row>
    <row r="40" spans="2:9" ht="15" customHeight="1" x14ac:dyDescent="0.2">
      <c r="B40" t="s">
        <v>75</v>
      </c>
      <c r="C40" s="12">
        <v>91</v>
      </c>
      <c r="D40" s="8">
        <v>1.44</v>
      </c>
      <c r="E40" s="12">
        <v>13</v>
      </c>
      <c r="F40" s="8">
        <v>0.47</v>
      </c>
      <c r="G40" s="12">
        <v>78</v>
      </c>
      <c r="H40" s="8">
        <v>2.21</v>
      </c>
      <c r="I40" s="12">
        <v>0</v>
      </c>
    </row>
    <row r="41" spans="2:9" ht="15" customHeight="1" x14ac:dyDescent="0.2">
      <c r="B41" t="s">
        <v>95</v>
      </c>
      <c r="C41" s="12">
        <v>90</v>
      </c>
      <c r="D41" s="8">
        <v>1.42</v>
      </c>
      <c r="E41" s="12">
        <v>6</v>
      </c>
      <c r="F41" s="8">
        <v>0.22</v>
      </c>
      <c r="G41" s="12">
        <v>80</v>
      </c>
      <c r="H41" s="8">
        <v>2.27</v>
      </c>
      <c r="I41" s="12">
        <v>4</v>
      </c>
    </row>
    <row r="42" spans="2:9" ht="15" customHeight="1" x14ac:dyDescent="0.2">
      <c r="B42" t="s">
        <v>97</v>
      </c>
      <c r="C42" s="12">
        <v>77</v>
      </c>
      <c r="D42" s="8">
        <v>1.22</v>
      </c>
      <c r="E42" s="12">
        <v>27</v>
      </c>
      <c r="F42" s="8">
        <v>0.98</v>
      </c>
      <c r="G42" s="12">
        <v>49</v>
      </c>
      <c r="H42" s="8">
        <v>1.39</v>
      </c>
      <c r="I42" s="12">
        <v>0</v>
      </c>
    </row>
    <row r="43" spans="2:9" ht="15" customHeight="1" x14ac:dyDescent="0.2">
      <c r="B43" t="s">
        <v>96</v>
      </c>
      <c r="C43" s="12">
        <v>75</v>
      </c>
      <c r="D43" s="8">
        <v>1.19</v>
      </c>
      <c r="E43" s="12">
        <v>4</v>
      </c>
      <c r="F43" s="8">
        <v>0.14000000000000001</v>
      </c>
      <c r="G43" s="12">
        <v>71</v>
      </c>
      <c r="H43" s="8">
        <v>2.0099999999999998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149</v>
      </c>
      <c r="C47" s="12">
        <v>413</v>
      </c>
      <c r="D47" s="8">
        <v>6.54</v>
      </c>
      <c r="E47" s="12">
        <v>360</v>
      </c>
      <c r="F47" s="8">
        <v>13.04</v>
      </c>
      <c r="G47" s="12">
        <v>53</v>
      </c>
      <c r="H47" s="8">
        <v>1.5</v>
      </c>
      <c r="I47" s="12">
        <v>0</v>
      </c>
    </row>
    <row r="48" spans="2:9" ht="15" customHeight="1" x14ac:dyDescent="0.2">
      <c r="B48" t="s">
        <v>145</v>
      </c>
      <c r="C48" s="12">
        <v>358</v>
      </c>
      <c r="D48" s="8">
        <v>5.67</v>
      </c>
      <c r="E48" s="12">
        <v>111</v>
      </c>
      <c r="F48" s="8">
        <v>4.0199999999999996</v>
      </c>
      <c r="G48" s="12">
        <v>247</v>
      </c>
      <c r="H48" s="8">
        <v>7.01</v>
      </c>
      <c r="I48" s="12">
        <v>0</v>
      </c>
    </row>
    <row r="49" spans="2:9" ht="15" customHeight="1" x14ac:dyDescent="0.2">
      <c r="B49" t="s">
        <v>151</v>
      </c>
      <c r="C49" s="12">
        <v>306</v>
      </c>
      <c r="D49" s="8">
        <v>4.84</v>
      </c>
      <c r="E49" s="12">
        <v>258</v>
      </c>
      <c r="F49" s="8">
        <v>9.35</v>
      </c>
      <c r="G49" s="12">
        <v>48</v>
      </c>
      <c r="H49" s="8">
        <v>1.36</v>
      </c>
      <c r="I49" s="12">
        <v>0</v>
      </c>
    </row>
    <row r="50" spans="2:9" ht="15" customHeight="1" x14ac:dyDescent="0.2">
      <c r="B50" t="s">
        <v>147</v>
      </c>
      <c r="C50" s="12">
        <v>271</v>
      </c>
      <c r="D50" s="8">
        <v>4.29</v>
      </c>
      <c r="E50" s="12">
        <v>194</v>
      </c>
      <c r="F50" s="8">
        <v>7.03</v>
      </c>
      <c r="G50" s="12">
        <v>77</v>
      </c>
      <c r="H50" s="8">
        <v>2.1800000000000002</v>
      </c>
      <c r="I50" s="12">
        <v>0</v>
      </c>
    </row>
    <row r="51" spans="2:9" ht="15" customHeight="1" x14ac:dyDescent="0.2">
      <c r="B51" t="s">
        <v>148</v>
      </c>
      <c r="C51" s="12">
        <v>227</v>
      </c>
      <c r="D51" s="8">
        <v>3.59</v>
      </c>
      <c r="E51" s="12">
        <v>184</v>
      </c>
      <c r="F51" s="8">
        <v>6.67</v>
      </c>
      <c r="G51" s="12">
        <v>43</v>
      </c>
      <c r="H51" s="8">
        <v>1.22</v>
      </c>
      <c r="I51" s="12">
        <v>0</v>
      </c>
    </row>
    <row r="52" spans="2:9" ht="15" customHeight="1" x14ac:dyDescent="0.2">
      <c r="B52" t="s">
        <v>144</v>
      </c>
      <c r="C52" s="12">
        <v>182</v>
      </c>
      <c r="D52" s="8">
        <v>2.88</v>
      </c>
      <c r="E52" s="12">
        <v>13</v>
      </c>
      <c r="F52" s="8">
        <v>0.47</v>
      </c>
      <c r="G52" s="12">
        <v>168</v>
      </c>
      <c r="H52" s="8">
        <v>4.76</v>
      </c>
      <c r="I52" s="12">
        <v>1</v>
      </c>
    </row>
    <row r="53" spans="2:9" ht="15" customHeight="1" x14ac:dyDescent="0.2">
      <c r="B53" t="s">
        <v>155</v>
      </c>
      <c r="C53" s="12">
        <v>162</v>
      </c>
      <c r="D53" s="8">
        <v>2.56</v>
      </c>
      <c r="E53" s="12">
        <v>18</v>
      </c>
      <c r="F53" s="8">
        <v>0.65</v>
      </c>
      <c r="G53" s="12">
        <v>143</v>
      </c>
      <c r="H53" s="8">
        <v>4.0599999999999996</v>
      </c>
      <c r="I53" s="12">
        <v>1</v>
      </c>
    </row>
    <row r="54" spans="2:9" ht="15" customHeight="1" x14ac:dyDescent="0.2">
      <c r="B54" t="s">
        <v>139</v>
      </c>
      <c r="C54" s="12">
        <v>160</v>
      </c>
      <c r="D54" s="8">
        <v>2.5299999999999998</v>
      </c>
      <c r="E54" s="12">
        <v>58</v>
      </c>
      <c r="F54" s="8">
        <v>2.1</v>
      </c>
      <c r="G54" s="12">
        <v>102</v>
      </c>
      <c r="H54" s="8">
        <v>2.89</v>
      </c>
      <c r="I54" s="12">
        <v>0</v>
      </c>
    </row>
    <row r="55" spans="2:9" ht="15" customHeight="1" x14ac:dyDescent="0.2">
      <c r="B55" t="s">
        <v>143</v>
      </c>
      <c r="C55" s="12">
        <v>160</v>
      </c>
      <c r="D55" s="8">
        <v>2.5299999999999998</v>
      </c>
      <c r="E55" s="12">
        <v>107</v>
      </c>
      <c r="F55" s="8">
        <v>3.88</v>
      </c>
      <c r="G55" s="12">
        <v>53</v>
      </c>
      <c r="H55" s="8">
        <v>1.5</v>
      </c>
      <c r="I55" s="12">
        <v>0</v>
      </c>
    </row>
    <row r="56" spans="2:9" ht="15" customHeight="1" x14ac:dyDescent="0.2">
      <c r="B56" t="s">
        <v>152</v>
      </c>
      <c r="C56" s="12">
        <v>141</v>
      </c>
      <c r="D56" s="8">
        <v>2.23</v>
      </c>
      <c r="E56" s="12">
        <v>104</v>
      </c>
      <c r="F56" s="8">
        <v>3.77</v>
      </c>
      <c r="G56" s="12">
        <v>37</v>
      </c>
      <c r="H56" s="8">
        <v>1.05</v>
      </c>
      <c r="I56" s="12">
        <v>0</v>
      </c>
    </row>
    <row r="57" spans="2:9" ht="15" customHeight="1" x14ac:dyDescent="0.2">
      <c r="B57" t="s">
        <v>146</v>
      </c>
      <c r="C57" s="12">
        <v>138</v>
      </c>
      <c r="D57" s="8">
        <v>2.1800000000000002</v>
      </c>
      <c r="E57" s="12">
        <v>16</v>
      </c>
      <c r="F57" s="8">
        <v>0.57999999999999996</v>
      </c>
      <c r="G57" s="12">
        <v>121</v>
      </c>
      <c r="H57" s="8">
        <v>3.43</v>
      </c>
      <c r="I57" s="12">
        <v>0</v>
      </c>
    </row>
    <row r="58" spans="2:9" ht="15" customHeight="1" x14ac:dyDescent="0.2">
      <c r="B58" t="s">
        <v>150</v>
      </c>
      <c r="C58" s="12">
        <v>121</v>
      </c>
      <c r="D58" s="8">
        <v>1.92</v>
      </c>
      <c r="E58" s="12">
        <v>114</v>
      </c>
      <c r="F58" s="8">
        <v>4.13</v>
      </c>
      <c r="G58" s="12">
        <v>7</v>
      </c>
      <c r="H58" s="8">
        <v>0.2</v>
      </c>
      <c r="I58" s="12">
        <v>0</v>
      </c>
    </row>
    <row r="59" spans="2:9" ht="15" customHeight="1" x14ac:dyDescent="0.2">
      <c r="B59" t="s">
        <v>142</v>
      </c>
      <c r="C59" s="12">
        <v>120</v>
      </c>
      <c r="D59" s="8">
        <v>1.9</v>
      </c>
      <c r="E59" s="12">
        <v>24</v>
      </c>
      <c r="F59" s="8">
        <v>0.87</v>
      </c>
      <c r="G59" s="12">
        <v>96</v>
      </c>
      <c r="H59" s="8">
        <v>2.72</v>
      </c>
      <c r="I59" s="12">
        <v>0</v>
      </c>
    </row>
    <row r="60" spans="2:9" ht="15" customHeight="1" x14ac:dyDescent="0.2">
      <c r="B60" t="s">
        <v>153</v>
      </c>
      <c r="C60" s="12">
        <v>119</v>
      </c>
      <c r="D60" s="8">
        <v>1.88</v>
      </c>
      <c r="E60" s="12">
        <v>103</v>
      </c>
      <c r="F60" s="8">
        <v>3.73</v>
      </c>
      <c r="G60" s="12">
        <v>16</v>
      </c>
      <c r="H60" s="8">
        <v>0.45</v>
      </c>
      <c r="I60" s="12">
        <v>0</v>
      </c>
    </row>
    <row r="61" spans="2:9" ht="15" customHeight="1" x14ac:dyDescent="0.2">
      <c r="B61" t="s">
        <v>140</v>
      </c>
      <c r="C61" s="12">
        <v>103</v>
      </c>
      <c r="D61" s="8">
        <v>1.63</v>
      </c>
      <c r="E61" s="12">
        <v>52</v>
      </c>
      <c r="F61" s="8">
        <v>1.88</v>
      </c>
      <c r="G61" s="12">
        <v>51</v>
      </c>
      <c r="H61" s="8">
        <v>1.45</v>
      </c>
      <c r="I61" s="12">
        <v>0</v>
      </c>
    </row>
    <row r="62" spans="2:9" ht="15" customHeight="1" x14ac:dyDescent="0.2">
      <c r="B62" t="s">
        <v>157</v>
      </c>
      <c r="C62" s="12">
        <v>101</v>
      </c>
      <c r="D62" s="8">
        <v>1.6</v>
      </c>
      <c r="E62" s="12">
        <v>4</v>
      </c>
      <c r="F62" s="8">
        <v>0.14000000000000001</v>
      </c>
      <c r="G62" s="12">
        <v>97</v>
      </c>
      <c r="H62" s="8">
        <v>2.75</v>
      </c>
      <c r="I62" s="12">
        <v>0</v>
      </c>
    </row>
    <row r="63" spans="2:9" ht="15" customHeight="1" x14ac:dyDescent="0.2">
      <c r="B63" t="s">
        <v>156</v>
      </c>
      <c r="C63" s="12">
        <v>76</v>
      </c>
      <c r="D63" s="8">
        <v>1.2</v>
      </c>
      <c r="E63" s="12">
        <v>37</v>
      </c>
      <c r="F63" s="8">
        <v>1.34</v>
      </c>
      <c r="G63" s="12">
        <v>39</v>
      </c>
      <c r="H63" s="8">
        <v>1.1100000000000001</v>
      </c>
      <c r="I63" s="12">
        <v>0</v>
      </c>
    </row>
    <row r="64" spans="2:9" ht="15" customHeight="1" x14ac:dyDescent="0.2">
      <c r="B64" t="s">
        <v>158</v>
      </c>
      <c r="C64" s="12">
        <v>73</v>
      </c>
      <c r="D64" s="8">
        <v>1.1599999999999999</v>
      </c>
      <c r="E64" s="12">
        <v>71</v>
      </c>
      <c r="F64" s="8">
        <v>2.57</v>
      </c>
      <c r="G64" s="12">
        <v>2</v>
      </c>
      <c r="H64" s="8">
        <v>0.06</v>
      </c>
      <c r="I64" s="12">
        <v>0</v>
      </c>
    </row>
    <row r="65" spans="2:9" ht="15" customHeight="1" x14ac:dyDescent="0.2">
      <c r="B65" t="s">
        <v>159</v>
      </c>
      <c r="C65" s="12">
        <v>73</v>
      </c>
      <c r="D65" s="8">
        <v>1.1599999999999999</v>
      </c>
      <c r="E65" s="12">
        <v>61</v>
      </c>
      <c r="F65" s="8">
        <v>2.21</v>
      </c>
      <c r="G65" s="12">
        <v>12</v>
      </c>
      <c r="H65" s="8">
        <v>0.34</v>
      </c>
      <c r="I65" s="12">
        <v>0</v>
      </c>
    </row>
    <row r="66" spans="2:9" ht="15" customHeight="1" x14ac:dyDescent="0.2">
      <c r="B66" t="s">
        <v>160</v>
      </c>
      <c r="C66" s="12">
        <v>72</v>
      </c>
      <c r="D66" s="8">
        <v>1.1399999999999999</v>
      </c>
      <c r="E66" s="12">
        <v>53</v>
      </c>
      <c r="F66" s="8">
        <v>1.92</v>
      </c>
      <c r="G66" s="12">
        <v>19</v>
      </c>
      <c r="H66" s="8">
        <v>0.54</v>
      </c>
      <c r="I66" s="12">
        <v>0</v>
      </c>
    </row>
    <row r="67" spans="2:9" ht="15" customHeight="1" x14ac:dyDescent="0.2">
      <c r="B67" t="s">
        <v>161</v>
      </c>
      <c r="C67" s="12">
        <v>72</v>
      </c>
      <c r="D67" s="8">
        <v>1.1399999999999999</v>
      </c>
      <c r="E67" s="12">
        <v>47</v>
      </c>
      <c r="F67" s="8">
        <v>1.7</v>
      </c>
      <c r="G67" s="12">
        <v>25</v>
      </c>
      <c r="H67" s="8">
        <v>0.71</v>
      </c>
      <c r="I67" s="12">
        <v>0</v>
      </c>
    </row>
    <row r="69" spans="2:9" ht="15" customHeight="1" x14ac:dyDescent="0.2">
      <c r="B69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563F-B20B-4B8B-B65E-2301A4A5CCF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700</v>
      </c>
      <c r="D6" s="8">
        <v>17.91</v>
      </c>
      <c r="E6" s="12">
        <v>109</v>
      </c>
      <c r="F6" s="8">
        <v>6.85</v>
      </c>
      <c r="G6" s="12">
        <v>591</v>
      </c>
      <c r="H6" s="8">
        <v>25.68</v>
      </c>
      <c r="I6" s="12">
        <v>0</v>
      </c>
    </row>
    <row r="7" spans="2:9" ht="15" customHeight="1" x14ac:dyDescent="0.2">
      <c r="B7" t="s">
        <v>53</v>
      </c>
      <c r="C7" s="12">
        <v>165</v>
      </c>
      <c r="D7" s="8">
        <v>4.22</v>
      </c>
      <c r="E7" s="12">
        <v>51</v>
      </c>
      <c r="F7" s="8">
        <v>3.2</v>
      </c>
      <c r="G7" s="12">
        <v>114</v>
      </c>
      <c r="H7" s="8">
        <v>4.95</v>
      </c>
      <c r="I7" s="12">
        <v>0</v>
      </c>
    </row>
    <row r="8" spans="2:9" ht="15" customHeight="1" x14ac:dyDescent="0.2">
      <c r="B8" t="s">
        <v>54</v>
      </c>
      <c r="C8" s="12">
        <v>6</v>
      </c>
      <c r="D8" s="8">
        <v>0.15</v>
      </c>
      <c r="E8" s="12">
        <v>0</v>
      </c>
      <c r="F8" s="8">
        <v>0</v>
      </c>
      <c r="G8" s="12">
        <v>6</v>
      </c>
      <c r="H8" s="8">
        <v>0.26</v>
      </c>
      <c r="I8" s="12">
        <v>0</v>
      </c>
    </row>
    <row r="9" spans="2:9" ht="15" customHeight="1" x14ac:dyDescent="0.2">
      <c r="B9" t="s">
        <v>55</v>
      </c>
      <c r="C9" s="12">
        <v>30</v>
      </c>
      <c r="D9" s="8">
        <v>0.77</v>
      </c>
      <c r="E9" s="12">
        <v>2</v>
      </c>
      <c r="F9" s="8">
        <v>0.13</v>
      </c>
      <c r="G9" s="12">
        <v>28</v>
      </c>
      <c r="H9" s="8">
        <v>1.22</v>
      </c>
      <c r="I9" s="12">
        <v>0</v>
      </c>
    </row>
    <row r="10" spans="2:9" ht="15" customHeight="1" x14ac:dyDescent="0.2">
      <c r="B10" t="s">
        <v>56</v>
      </c>
      <c r="C10" s="12">
        <v>50</v>
      </c>
      <c r="D10" s="8">
        <v>1.28</v>
      </c>
      <c r="E10" s="12">
        <v>32</v>
      </c>
      <c r="F10" s="8">
        <v>2.0099999999999998</v>
      </c>
      <c r="G10" s="12">
        <v>18</v>
      </c>
      <c r="H10" s="8">
        <v>0.78</v>
      </c>
      <c r="I10" s="12">
        <v>0</v>
      </c>
    </row>
    <row r="11" spans="2:9" ht="15" customHeight="1" x14ac:dyDescent="0.2">
      <c r="B11" t="s">
        <v>57</v>
      </c>
      <c r="C11" s="12">
        <v>867</v>
      </c>
      <c r="D11" s="8">
        <v>22.19</v>
      </c>
      <c r="E11" s="12">
        <v>321</v>
      </c>
      <c r="F11" s="8">
        <v>20.16</v>
      </c>
      <c r="G11" s="12">
        <v>546</v>
      </c>
      <c r="H11" s="8">
        <v>23.73</v>
      </c>
      <c r="I11" s="12">
        <v>0</v>
      </c>
    </row>
    <row r="12" spans="2:9" ht="15" customHeight="1" x14ac:dyDescent="0.2">
      <c r="B12" t="s">
        <v>58</v>
      </c>
      <c r="C12" s="12">
        <v>33</v>
      </c>
      <c r="D12" s="8">
        <v>0.84</v>
      </c>
      <c r="E12" s="12">
        <v>4</v>
      </c>
      <c r="F12" s="8">
        <v>0.25</v>
      </c>
      <c r="G12" s="12">
        <v>29</v>
      </c>
      <c r="H12" s="8">
        <v>1.26</v>
      </c>
      <c r="I12" s="12">
        <v>0</v>
      </c>
    </row>
    <row r="13" spans="2:9" ht="15" customHeight="1" x14ac:dyDescent="0.2">
      <c r="B13" t="s">
        <v>59</v>
      </c>
      <c r="C13" s="12">
        <v>473</v>
      </c>
      <c r="D13" s="8">
        <v>12.1</v>
      </c>
      <c r="E13" s="12">
        <v>69</v>
      </c>
      <c r="F13" s="8">
        <v>4.33</v>
      </c>
      <c r="G13" s="12">
        <v>403</v>
      </c>
      <c r="H13" s="8">
        <v>17.510000000000002</v>
      </c>
      <c r="I13" s="12">
        <v>0</v>
      </c>
    </row>
    <row r="14" spans="2:9" ht="15" customHeight="1" x14ac:dyDescent="0.2">
      <c r="B14" t="s">
        <v>60</v>
      </c>
      <c r="C14" s="12">
        <v>349</v>
      </c>
      <c r="D14" s="8">
        <v>8.93</v>
      </c>
      <c r="E14" s="12">
        <v>140</v>
      </c>
      <c r="F14" s="8">
        <v>8.7899999999999991</v>
      </c>
      <c r="G14" s="12">
        <v>209</v>
      </c>
      <c r="H14" s="8">
        <v>9.08</v>
      </c>
      <c r="I14" s="12">
        <v>0</v>
      </c>
    </row>
    <row r="15" spans="2:9" ht="15" customHeight="1" x14ac:dyDescent="0.2">
      <c r="B15" t="s">
        <v>61</v>
      </c>
      <c r="C15" s="12">
        <v>258</v>
      </c>
      <c r="D15" s="8">
        <v>6.6</v>
      </c>
      <c r="E15" s="12">
        <v>203</v>
      </c>
      <c r="F15" s="8">
        <v>12.75</v>
      </c>
      <c r="G15" s="12">
        <v>54</v>
      </c>
      <c r="H15" s="8">
        <v>2.35</v>
      </c>
      <c r="I15" s="12">
        <v>0</v>
      </c>
    </row>
    <row r="16" spans="2:9" ht="15" customHeight="1" x14ac:dyDescent="0.2">
      <c r="B16" t="s">
        <v>62</v>
      </c>
      <c r="C16" s="12">
        <v>492</v>
      </c>
      <c r="D16" s="8">
        <v>12.59</v>
      </c>
      <c r="E16" s="12">
        <v>381</v>
      </c>
      <c r="F16" s="8">
        <v>23.93</v>
      </c>
      <c r="G16" s="12">
        <v>111</v>
      </c>
      <c r="H16" s="8">
        <v>4.82</v>
      </c>
      <c r="I16" s="12">
        <v>0</v>
      </c>
    </row>
    <row r="17" spans="2:9" ht="15" customHeight="1" x14ac:dyDescent="0.2">
      <c r="B17" t="s">
        <v>63</v>
      </c>
      <c r="C17" s="12">
        <v>143</v>
      </c>
      <c r="D17" s="8">
        <v>3.66</v>
      </c>
      <c r="E17" s="12">
        <v>107</v>
      </c>
      <c r="F17" s="8">
        <v>6.72</v>
      </c>
      <c r="G17" s="12">
        <v>35</v>
      </c>
      <c r="H17" s="8">
        <v>1.52</v>
      </c>
      <c r="I17" s="12">
        <v>0</v>
      </c>
    </row>
    <row r="18" spans="2:9" ht="15" customHeight="1" x14ac:dyDescent="0.2">
      <c r="B18" t="s">
        <v>64</v>
      </c>
      <c r="C18" s="12">
        <v>183</v>
      </c>
      <c r="D18" s="8">
        <v>4.68</v>
      </c>
      <c r="E18" s="12">
        <v>121</v>
      </c>
      <c r="F18" s="8">
        <v>7.6</v>
      </c>
      <c r="G18" s="12">
        <v>58</v>
      </c>
      <c r="H18" s="8">
        <v>2.52</v>
      </c>
      <c r="I18" s="12">
        <v>0</v>
      </c>
    </row>
    <row r="19" spans="2:9" ht="15" customHeight="1" x14ac:dyDescent="0.2">
      <c r="B19" t="s">
        <v>65</v>
      </c>
      <c r="C19" s="12">
        <v>159</v>
      </c>
      <c r="D19" s="8">
        <v>4.07</v>
      </c>
      <c r="E19" s="12">
        <v>52</v>
      </c>
      <c r="F19" s="8">
        <v>3.27</v>
      </c>
      <c r="G19" s="12">
        <v>99</v>
      </c>
      <c r="H19" s="8">
        <v>4.3</v>
      </c>
      <c r="I19" s="12">
        <v>8</v>
      </c>
    </row>
    <row r="20" spans="2:9" ht="15" customHeight="1" x14ac:dyDescent="0.2">
      <c r="B20" s="9" t="s">
        <v>281</v>
      </c>
      <c r="C20" s="12">
        <f>SUM(LTBL_43102[総数／事業所数])</f>
        <v>3908</v>
      </c>
      <c r="E20" s="12">
        <f>SUBTOTAL(109,LTBL_43102[個人／事業所数])</f>
        <v>1592</v>
      </c>
      <c r="G20" s="12">
        <f>SUBTOTAL(109,LTBL_43102[法人／事業所数])</f>
        <v>2301</v>
      </c>
      <c r="I20" s="12">
        <f>SUBTOTAL(109,LTBL_43102[法人以外の団体／事業所数])</f>
        <v>8</v>
      </c>
    </row>
    <row r="21" spans="2:9" ht="15" customHeight="1" x14ac:dyDescent="0.2">
      <c r="E21" s="11">
        <f>LTBL_43102[[#Totals],[個人／事業所数]]/LTBL_43102[[#Totals],[総数／事業所数]]</f>
        <v>0.40736949846468784</v>
      </c>
      <c r="G21" s="11">
        <f>LTBL_43102[[#Totals],[法人／事業所数]]/LTBL_43102[[#Totals],[総数／事業所数]]</f>
        <v>0.58879222108495399</v>
      </c>
      <c r="I21" s="11">
        <f>LTBL_43102[[#Totals],[法人以外の団体／事業所数]]/LTBL_43102[[#Totals],[総数／事業所数]]</f>
        <v>2.0470829068577278E-3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399</v>
      </c>
      <c r="D24" s="8">
        <v>10.210000000000001</v>
      </c>
      <c r="E24" s="12">
        <v>330</v>
      </c>
      <c r="F24" s="8">
        <v>20.73</v>
      </c>
      <c r="G24" s="12">
        <v>69</v>
      </c>
      <c r="H24" s="8">
        <v>3</v>
      </c>
      <c r="I24" s="12">
        <v>0</v>
      </c>
    </row>
    <row r="25" spans="2:9" ht="15" customHeight="1" x14ac:dyDescent="0.2">
      <c r="B25" t="s">
        <v>85</v>
      </c>
      <c r="C25" s="12">
        <v>330</v>
      </c>
      <c r="D25" s="8">
        <v>8.44</v>
      </c>
      <c r="E25" s="12">
        <v>45</v>
      </c>
      <c r="F25" s="8">
        <v>2.83</v>
      </c>
      <c r="G25" s="12">
        <v>284</v>
      </c>
      <c r="H25" s="8">
        <v>12.34</v>
      </c>
      <c r="I25" s="12">
        <v>0</v>
      </c>
    </row>
    <row r="26" spans="2:9" ht="15" customHeight="1" x14ac:dyDescent="0.2">
      <c r="B26" t="s">
        <v>74</v>
      </c>
      <c r="C26" s="12">
        <v>309</v>
      </c>
      <c r="D26" s="8">
        <v>7.91</v>
      </c>
      <c r="E26" s="12">
        <v>33</v>
      </c>
      <c r="F26" s="8">
        <v>2.0699999999999998</v>
      </c>
      <c r="G26" s="12">
        <v>276</v>
      </c>
      <c r="H26" s="8">
        <v>11.99</v>
      </c>
      <c r="I26" s="12">
        <v>0</v>
      </c>
    </row>
    <row r="27" spans="2:9" ht="15" customHeight="1" x14ac:dyDescent="0.2">
      <c r="B27" t="s">
        <v>88</v>
      </c>
      <c r="C27" s="12">
        <v>225</v>
      </c>
      <c r="D27" s="8">
        <v>5.76</v>
      </c>
      <c r="E27" s="12">
        <v>194</v>
      </c>
      <c r="F27" s="8">
        <v>12.19</v>
      </c>
      <c r="G27" s="12">
        <v>31</v>
      </c>
      <c r="H27" s="8">
        <v>1.35</v>
      </c>
      <c r="I27" s="12">
        <v>0</v>
      </c>
    </row>
    <row r="28" spans="2:9" ht="15" customHeight="1" x14ac:dyDescent="0.2">
      <c r="B28" t="s">
        <v>76</v>
      </c>
      <c r="C28" s="12">
        <v>196</v>
      </c>
      <c r="D28" s="8">
        <v>5.0199999999999996</v>
      </c>
      <c r="E28" s="12">
        <v>28</v>
      </c>
      <c r="F28" s="8">
        <v>1.76</v>
      </c>
      <c r="G28" s="12">
        <v>168</v>
      </c>
      <c r="H28" s="8">
        <v>7.3</v>
      </c>
      <c r="I28" s="12">
        <v>0</v>
      </c>
    </row>
    <row r="29" spans="2:9" ht="15" customHeight="1" x14ac:dyDescent="0.2">
      <c r="B29" t="s">
        <v>75</v>
      </c>
      <c r="C29" s="12">
        <v>195</v>
      </c>
      <c r="D29" s="8">
        <v>4.99</v>
      </c>
      <c r="E29" s="12">
        <v>48</v>
      </c>
      <c r="F29" s="8">
        <v>3.02</v>
      </c>
      <c r="G29" s="12">
        <v>147</v>
      </c>
      <c r="H29" s="8">
        <v>6.39</v>
      </c>
      <c r="I29" s="12">
        <v>0</v>
      </c>
    </row>
    <row r="30" spans="2:9" ht="15" customHeight="1" x14ac:dyDescent="0.2">
      <c r="B30" t="s">
        <v>86</v>
      </c>
      <c r="C30" s="12">
        <v>183</v>
      </c>
      <c r="D30" s="8">
        <v>4.68</v>
      </c>
      <c r="E30" s="12">
        <v>106</v>
      </c>
      <c r="F30" s="8">
        <v>6.66</v>
      </c>
      <c r="G30" s="12">
        <v>77</v>
      </c>
      <c r="H30" s="8">
        <v>3.35</v>
      </c>
      <c r="I30" s="12">
        <v>0</v>
      </c>
    </row>
    <row r="31" spans="2:9" ht="15" customHeight="1" x14ac:dyDescent="0.2">
      <c r="B31" t="s">
        <v>83</v>
      </c>
      <c r="C31" s="12">
        <v>177</v>
      </c>
      <c r="D31" s="8">
        <v>4.53</v>
      </c>
      <c r="E31" s="12">
        <v>79</v>
      </c>
      <c r="F31" s="8">
        <v>4.96</v>
      </c>
      <c r="G31" s="12">
        <v>98</v>
      </c>
      <c r="H31" s="8">
        <v>4.26</v>
      </c>
      <c r="I31" s="12">
        <v>0</v>
      </c>
    </row>
    <row r="32" spans="2:9" ht="15" customHeight="1" x14ac:dyDescent="0.2">
      <c r="B32" t="s">
        <v>82</v>
      </c>
      <c r="C32" s="12">
        <v>159</v>
      </c>
      <c r="D32" s="8">
        <v>4.07</v>
      </c>
      <c r="E32" s="12">
        <v>96</v>
      </c>
      <c r="F32" s="8">
        <v>6.03</v>
      </c>
      <c r="G32" s="12">
        <v>63</v>
      </c>
      <c r="H32" s="8">
        <v>2.74</v>
      </c>
      <c r="I32" s="12">
        <v>0</v>
      </c>
    </row>
    <row r="33" spans="2:9" ht="15" customHeight="1" x14ac:dyDescent="0.2">
      <c r="B33" t="s">
        <v>87</v>
      </c>
      <c r="C33" s="12">
        <v>156</v>
      </c>
      <c r="D33" s="8">
        <v>3.99</v>
      </c>
      <c r="E33" s="12">
        <v>31</v>
      </c>
      <c r="F33" s="8">
        <v>1.95</v>
      </c>
      <c r="G33" s="12">
        <v>125</v>
      </c>
      <c r="H33" s="8">
        <v>5.43</v>
      </c>
      <c r="I33" s="12">
        <v>0</v>
      </c>
    </row>
    <row r="34" spans="2:9" ht="15" customHeight="1" x14ac:dyDescent="0.2">
      <c r="B34" t="s">
        <v>90</v>
      </c>
      <c r="C34" s="12">
        <v>143</v>
      </c>
      <c r="D34" s="8">
        <v>3.66</v>
      </c>
      <c r="E34" s="12">
        <v>107</v>
      </c>
      <c r="F34" s="8">
        <v>6.72</v>
      </c>
      <c r="G34" s="12">
        <v>35</v>
      </c>
      <c r="H34" s="8">
        <v>1.52</v>
      </c>
      <c r="I34" s="12">
        <v>0</v>
      </c>
    </row>
    <row r="35" spans="2:9" ht="15" customHeight="1" x14ac:dyDescent="0.2">
      <c r="B35" t="s">
        <v>91</v>
      </c>
      <c r="C35" s="12">
        <v>138</v>
      </c>
      <c r="D35" s="8">
        <v>3.53</v>
      </c>
      <c r="E35" s="12">
        <v>118</v>
      </c>
      <c r="F35" s="8">
        <v>7.41</v>
      </c>
      <c r="G35" s="12">
        <v>20</v>
      </c>
      <c r="H35" s="8">
        <v>0.87</v>
      </c>
      <c r="I35" s="12">
        <v>0</v>
      </c>
    </row>
    <row r="36" spans="2:9" ht="15" customHeight="1" x14ac:dyDescent="0.2">
      <c r="B36" t="s">
        <v>81</v>
      </c>
      <c r="C36" s="12">
        <v>128</v>
      </c>
      <c r="D36" s="8">
        <v>3.28</v>
      </c>
      <c r="E36" s="12">
        <v>84</v>
      </c>
      <c r="F36" s="8">
        <v>5.28</v>
      </c>
      <c r="G36" s="12">
        <v>44</v>
      </c>
      <c r="H36" s="8">
        <v>1.91</v>
      </c>
      <c r="I36" s="12">
        <v>0</v>
      </c>
    </row>
    <row r="37" spans="2:9" ht="15" customHeight="1" x14ac:dyDescent="0.2">
      <c r="B37" t="s">
        <v>84</v>
      </c>
      <c r="C37" s="12">
        <v>121</v>
      </c>
      <c r="D37" s="8">
        <v>3.1</v>
      </c>
      <c r="E37" s="12">
        <v>20</v>
      </c>
      <c r="F37" s="8">
        <v>1.26</v>
      </c>
      <c r="G37" s="12">
        <v>101</v>
      </c>
      <c r="H37" s="8">
        <v>4.3899999999999997</v>
      </c>
      <c r="I37" s="12">
        <v>0</v>
      </c>
    </row>
    <row r="38" spans="2:9" ht="15" customHeight="1" x14ac:dyDescent="0.2">
      <c r="B38" t="s">
        <v>79</v>
      </c>
      <c r="C38" s="12">
        <v>96</v>
      </c>
      <c r="D38" s="8">
        <v>2.46</v>
      </c>
      <c r="E38" s="12">
        <v>4</v>
      </c>
      <c r="F38" s="8">
        <v>0.25</v>
      </c>
      <c r="G38" s="12">
        <v>92</v>
      </c>
      <c r="H38" s="8">
        <v>4</v>
      </c>
      <c r="I38" s="12">
        <v>0</v>
      </c>
    </row>
    <row r="39" spans="2:9" ht="15" customHeight="1" x14ac:dyDescent="0.2">
      <c r="B39" t="s">
        <v>94</v>
      </c>
      <c r="C39" s="12">
        <v>78</v>
      </c>
      <c r="D39" s="8">
        <v>2</v>
      </c>
      <c r="E39" s="12">
        <v>12</v>
      </c>
      <c r="F39" s="8">
        <v>0.75</v>
      </c>
      <c r="G39" s="12">
        <v>66</v>
      </c>
      <c r="H39" s="8">
        <v>2.87</v>
      </c>
      <c r="I39" s="12">
        <v>0</v>
      </c>
    </row>
    <row r="40" spans="2:9" ht="15" customHeight="1" x14ac:dyDescent="0.2">
      <c r="B40" t="s">
        <v>80</v>
      </c>
      <c r="C40" s="12">
        <v>77</v>
      </c>
      <c r="D40" s="8">
        <v>1.97</v>
      </c>
      <c r="E40" s="12">
        <v>33</v>
      </c>
      <c r="F40" s="8">
        <v>2.0699999999999998</v>
      </c>
      <c r="G40" s="12">
        <v>44</v>
      </c>
      <c r="H40" s="8">
        <v>1.91</v>
      </c>
      <c r="I40" s="12">
        <v>0</v>
      </c>
    </row>
    <row r="41" spans="2:9" ht="15" customHeight="1" x14ac:dyDescent="0.2">
      <c r="B41" t="s">
        <v>93</v>
      </c>
      <c r="C41" s="12">
        <v>59</v>
      </c>
      <c r="D41" s="8">
        <v>1.51</v>
      </c>
      <c r="E41" s="12">
        <v>40</v>
      </c>
      <c r="F41" s="8">
        <v>2.5099999999999998</v>
      </c>
      <c r="G41" s="12">
        <v>19</v>
      </c>
      <c r="H41" s="8">
        <v>0.83</v>
      </c>
      <c r="I41" s="12">
        <v>0</v>
      </c>
    </row>
    <row r="42" spans="2:9" ht="15" customHeight="1" x14ac:dyDescent="0.2">
      <c r="B42" t="s">
        <v>97</v>
      </c>
      <c r="C42" s="12">
        <v>56</v>
      </c>
      <c r="D42" s="8">
        <v>1.43</v>
      </c>
      <c r="E42" s="12">
        <v>30</v>
      </c>
      <c r="F42" s="8">
        <v>1.88</v>
      </c>
      <c r="G42" s="12">
        <v>26</v>
      </c>
      <c r="H42" s="8">
        <v>1.1299999999999999</v>
      </c>
      <c r="I42" s="12">
        <v>0</v>
      </c>
    </row>
    <row r="43" spans="2:9" ht="15" customHeight="1" x14ac:dyDescent="0.2">
      <c r="B43" t="s">
        <v>98</v>
      </c>
      <c r="C43" s="12">
        <v>54</v>
      </c>
      <c r="D43" s="8">
        <v>1.38</v>
      </c>
      <c r="E43" s="12">
        <v>4</v>
      </c>
      <c r="F43" s="8">
        <v>0.25</v>
      </c>
      <c r="G43" s="12">
        <v>50</v>
      </c>
      <c r="H43" s="8">
        <v>2.17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194</v>
      </c>
      <c r="D47" s="8">
        <v>4.96</v>
      </c>
      <c r="E47" s="12">
        <v>175</v>
      </c>
      <c r="F47" s="8">
        <v>10.99</v>
      </c>
      <c r="G47" s="12">
        <v>19</v>
      </c>
      <c r="H47" s="8">
        <v>0.83</v>
      </c>
      <c r="I47" s="12">
        <v>0</v>
      </c>
    </row>
    <row r="48" spans="2:9" ht="15" customHeight="1" x14ac:dyDescent="0.2">
      <c r="B48" t="s">
        <v>145</v>
      </c>
      <c r="C48" s="12">
        <v>184</v>
      </c>
      <c r="D48" s="8">
        <v>4.71</v>
      </c>
      <c r="E48" s="12">
        <v>36</v>
      </c>
      <c r="F48" s="8">
        <v>2.2599999999999998</v>
      </c>
      <c r="G48" s="12">
        <v>148</v>
      </c>
      <c r="H48" s="8">
        <v>6.43</v>
      </c>
      <c r="I48" s="12">
        <v>0</v>
      </c>
    </row>
    <row r="49" spans="2:9" ht="15" customHeight="1" x14ac:dyDescent="0.2">
      <c r="B49" t="s">
        <v>146</v>
      </c>
      <c r="C49" s="12">
        <v>118</v>
      </c>
      <c r="D49" s="8">
        <v>3.02</v>
      </c>
      <c r="E49" s="12">
        <v>19</v>
      </c>
      <c r="F49" s="8">
        <v>1.19</v>
      </c>
      <c r="G49" s="12">
        <v>99</v>
      </c>
      <c r="H49" s="8">
        <v>4.3</v>
      </c>
      <c r="I49" s="12">
        <v>0</v>
      </c>
    </row>
    <row r="50" spans="2:9" ht="15" customHeight="1" x14ac:dyDescent="0.2">
      <c r="B50" t="s">
        <v>141</v>
      </c>
      <c r="C50" s="12">
        <v>111</v>
      </c>
      <c r="D50" s="8">
        <v>2.84</v>
      </c>
      <c r="E50" s="12">
        <v>63</v>
      </c>
      <c r="F50" s="8">
        <v>3.96</v>
      </c>
      <c r="G50" s="12">
        <v>48</v>
      </c>
      <c r="H50" s="8">
        <v>2.09</v>
      </c>
      <c r="I50" s="12">
        <v>0</v>
      </c>
    </row>
    <row r="51" spans="2:9" ht="15" customHeight="1" x14ac:dyDescent="0.2">
      <c r="B51" t="s">
        <v>150</v>
      </c>
      <c r="C51" s="12">
        <v>109</v>
      </c>
      <c r="D51" s="8">
        <v>2.79</v>
      </c>
      <c r="E51" s="12">
        <v>94</v>
      </c>
      <c r="F51" s="8">
        <v>5.9</v>
      </c>
      <c r="G51" s="12">
        <v>15</v>
      </c>
      <c r="H51" s="8">
        <v>0.65</v>
      </c>
      <c r="I51" s="12">
        <v>0</v>
      </c>
    </row>
    <row r="52" spans="2:9" ht="15" customHeight="1" x14ac:dyDescent="0.2">
      <c r="B52" t="s">
        <v>153</v>
      </c>
      <c r="C52" s="12">
        <v>99</v>
      </c>
      <c r="D52" s="8">
        <v>2.5299999999999998</v>
      </c>
      <c r="E52" s="12">
        <v>85</v>
      </c>
      <c r="F52" s="8">
        <v>5.34</v>
      </c>
      <c r="G52" s="12">
        <v>14</v>
      </c>
      <c r="H52" s="8">
        <v>0.61</v>
      </c>
      <c r="I52" s="12">
        <v>0</v>
      </c>
    </row>
    <row r="53" spans="2:9" ht="15" customHeight="1" x14ac:dyDescent="0.2">
      <c r="B53" t="s">
        <v>152</v>
      </c>
      <c r="C53" s="12">
        <v>95</v>
      </c>
      <c r="D53" s="8">
        <v>2.4300000000000002</v>
      </c>
      <c r="E53" s="12">
        <v>73</v>
      </c>
      <c r="F53" s="8">
        <v>4.59</v>
      </c>
      <c r="G53" s="12">
        <v>22</v>
      </c>
      <c r="H53" s="8">
        <v>0.96</v>
      </c>
      <c r="I53" s="12">
        <v>0</v>
      </c>
    </row>
    <row r="54" spans="2:9" ht="15" customHeight="1" x14ac:dyDescent="0.2">
      <c r="B54" t="s">
        <v>135</v>
      </c>
      <c r="C54" s="12">
        <v>92</v>
      </c>
      <c r="D54" s="8">
        <v>2.35</v>
      </c>
      <c r="E54" s="12">
        <v>4</v>
      </c>
      <c r="F54" s="8">
        <v>0.25</v>
      </c>
      <c r="G54" s="12">
        <v>88</v>
      </c>
      <c r="H54" s="8">
        <v>3.82</v>
      </c>
      <c r="I54" s="12">
        <v>0</v>
      </c>
    </row>
    <row r="55" spans="2:9" ht="15" customHeight="1" x14ac:dyDescent="0.2">
      <c r="B55" t="s">
        <v>155</v>
      </c>
      <c r="C55" s="12">
        <v>90</v>
      </c>
      <c r="D55" s="8">
        <v>2.2999999999999998</v>
      </c>
      <c r="E55" s="12">
        <v>18</v>
      </c>
      <c r="F55" s="8">
        <v>1.1299999999999999</v>
      </c>
      <c r="G55" s="12">
        <v>72</v>
      </c>
      <c r="H55" s="8">
        <v>3.13</v>
      </c>
      <c r="I55" s="12">
        <v>0</v>
      </c>
    </row>
    <row r="56" spans="2:9" ht="15" customHeight="1" x14ac:dyDescent="0.2">
      <c r="B56" t="s">
        <v>136</v>
      </c>
      <c r="C56" s="12">
        <v>89</v>
      </c>
      <c r="D56" s="8">
        <v>2.2799999999999998</v>
      </c>
      <c r="E56" s="12">
        <v>7</v>
      </c>
      <c r="F56" s="8">
        <v>0.44</v>
      </c>
      <c r="G56" s="12">
        <v>82</v>
      </c>
      <c r="H56" s="8">
        <v>3.56</v>
      </c>
      <c r="I56" s="12">
        <v>0</v>
      </c>
    </row>
    <row r="57" spans="2:9" ht="15" customHeight="1" x14ac:dyDescent="0.2">
      <c r="B57" t="s">
        <v>144</v>
      </c>
      <c r="C57" s="12">
        <v>80</v>
      </c>
      <c r="D57" s="8">
        <v>2.0499999999999998</v>
      </c>
      <c r="E57" s="12">
        <v>6</v>
      </c>
      <c r="F57" s="8">
        <v>0.38</v>
      </c>
      <c r="G57" s="12">
        <v>74</v>
      </c>
      <c r="H57" s="8">
        <v>3.22</v>
      </c>
      <c r="I57" s="12">
        <v>0</v>
      </c>
    </row>
    <row r="58" spans="2:9" ht="15" customHeight="1" x14ac:dyDescent="0.2">
      <c r="B58" t="s">
        <v>147</v>
      </c>
      <c r="C58" s="12">
        <v>75</v>
      </c>
      <c r="D58" s="8">
        <v>1.92</v>
      </c>
      <c r="E58" s="12">
        <v>64</v>
      </c>
      <c r="F58" s="8">
        <v>4.0199999999999996</v>
      </c>
      <c r="G58" s="12">
        <v>11</v>
      </c>
      <c r="H58" s="8">
        <v>0.48</v>
      </c>
      <c r="I58" s="12">
        <v>0</v>
      </c>
    </row>
    <row r="59" spans="2:9" ht="15" customHeight="1" x14ac:dyDescent="0.2">
      <c r="B59" t="s">
        <v>138</v>
      </c>
      <c r="C59" s="12">
        <v>71</v>
      </c>
      <c r="D59" s="8">
        <v>1.82</v>
      </c>
      <c r="E59" s="12">
        <v>12</v>
      </c>
      <c r="F59" s="8">
        <v>0.75</v>
      </c>
      <c r="G59" s="12">
        <v>59</v>
      </c>
      <c r="H59" s="8">
        <v>2.56</v>
      </c>
      <c r="I59" s="12">
        <v>0</v>
      </c>
    </row>
    <row r="60" spans="2:9" ht="15" customHeight="1" x14ac:dyDescent="0.2">
      <c r="B60" t="s">
        <v>163</v>
      </c>
      <c r="C60" s="12">
        <v>62</v>
      </c>
      <c r="D60" s="8">
        <v>1.59</v>
      </c>
      <c r="E60" s="12">
        <v>10</v>
      </c>
      <c r="F60" s="8">
        <v>0.63</v>
      </c>
      <c r="G60" s="12">
        <v>52</v>
      </c>
      <c r="H60" s="8">
        <v>2.2599999999999998</v>
      </c>
      <c r="I60" s="12">
        <v>0</v>
      </c>
    </row>
    <row r="61" spans="2:9" ht="15" customHeight="1" x14ac:dyDescent="0.2">
      <c r="B61" t="s">
        <v>137</v>
      </c>
      <c r="C61" s="12">
        <v>61</v>
      </c>
      <c r="D61" s="8">
        <v>1.56</v>
      </c>
      <c r="E61" s="12">
        <v>12</v>
      </c>
      <c r="F61" s="8">
        <v>0.75</v>
      </c>
      <c r="G61" s="12">
        <v>49</v>
      </c>
      <c r="H61" s="8">
        <v>2.13</v>
      </c>
      <c r="I61" s="12">
        <v>0</v>
      </c>
    </row>
    <row r="62" spans="2:9" ht="15" customHeight="1" x14ac:dyDescent="0.2">
      <c r="B62" t="s">
        <v>154</v>
      </c>
      <c r="C62" s="12">
        <v>59</v>
      </c>
      <c r="D62" s="8">
        <v>1.51</v>
      </c>
      <c r="E62" s="12">
        <v>40</v>
      </c>
      <c r="F62" s="8">
        <v>2.5099999999999998</v>
      </c>
      <c r="G62" s="12">
        <v>19</v>
      </c>
      <c r="H62" s="8">
        <v>0.83</v>
      </c>
      <c r="I62" s="12">
        <v>0</v>
      </c>
    </row>
    <row r="63" spans="2:9" ht="15" customHeight="1" x14ac:dyDescent="0.2">
      <c r="B63" t="s">
        <v>157</v>
      </c>
      <c r="C63" s="12">
        <v>58</v>
      </c>
      <c r="D63" s="8">
        <v>1.48</v>
      </c>
      <c r="E63" s="12">
        <v>1</v>
      </c>
      <c r="F63" s="8">
        <v>0.06</v>
      </c>
      <c r="G63" s="12">
        <v>56</v>
      </c>
      <c r="H63" s="8">
        <v>2.4300000000000002</v>
      </c>
      <c r="I63" s="12">
        <v>0</v>
      </c>
    </row>
    <row r="64" spans="2:9" ht="15" customHeight="1" x14ac:dyDescent="0.2">
      <c r="B64" t="s">
        <v>160</v>
      </c>
      <c r="C64" s="12">
        <v>56</v>
      </c>
      <c r="D64" s="8">
        <v>1.43</v>
      </c>
      <c r="E64" s="12">
        <v>32</v>
      </c>
      <c r="F64" s="8">
        <v>2.0099999999999998</v>
      </c>
      <c r="G64" s="12">
        <v>24</v>
      </c>
      <c r="H64" s="8">
        <v>1.04</v>
      </c>
      <c r="I64" s="12">
        <v>0</v>
      </c>
    </row>
    <row r="65" spans="2:9" ht="15" customHeight="1" x14ac:dyDescent="0.2">
      <c r="B65" t="s">
        <v>162</v>
      </c>
      <c r="C65" s="12">
        <v>55</v>
      </c>
      <c r="D65" s="8">
        <v>1.41</v>
      </c>
      <c r="E65" s="12">
        <v>8</v>
      </c>
      <c r="F65" s="8">
        <v>0.5</v>
      </c>
      <c r="G65" s="12">
        <v>47</v>
      </c>
      <c r="H65" s="8">
        <v>2.04</v>
      </c>
      <c r="I65" s="12">
        <v>0</v>
      </c>
    </row>
    <row r="66" spans="2:9" ht="15" customHeight="1" x14ac:dyDescent="0.2">
      <c r="B66" t="s">
        <v>158</v>
      </c>
      <c r="C66" s="12">
        <v>55</v>
      </c>
      <c r="D66" s="8">
        <v>1.41</v>
      </c>
      <c r="E66" s="12">
        <v>53</v>
      </c>
      <c r="F66" s="8">
        <v>3.33</v>
      </c>
      <c r="G66" s="12">
        <v>2</v>
      </c>
      <c r="H66" s="8">
        <v>0.09</v>
      </c>
      <c r="I66" s="12">
        <v>0</v>
      </c>
    </row>
    <row r="68" spans="2:9" ht="15" customHeight="1" x14ac:dyDescent="0.2">
      <c r="B68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6990-29D7-430F-93C7-E974F4F719C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280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188</v>
      </c>
      <c r="D6" s="8">
        <v>12.2</v>
      </c>
      <c r="E6" s="12">
        <v>42</v>
      </c>
      <c r="F6" s="8">
        <v>6.6</v>
      </c>
      <c r="G6" s="12">
        <v>146</v>
      </c>
      <c r="H6" s="8">
        <v>16.690000000000001</v>
      </c>
      <c r="I6" s="12">
        <v>0</v>
      </c>
    </row>
    <row r="7" spans="2:9" ht="15" customHeight="1" x14ac:dyDescent="0.2">
      <c r="B7" t="s">
        <v>53</v>
      </c>
      <c r="C7" s="12">
        <v>92</v>
      </c>
      <c r="D7" s="8">
        <v>5.97</v>
      </c>
      <c r="E7" s="12">
        <v>26</v>
      </c>
      <c r="F7" s="8">
        <v>4.09</v>
      </c>
      <c r="G7" s="12">
        <v>66</v>
      </c>
      <c r="H7" s="8">
        <v>7.54</v>
      </c>
      <c r="I7" s="12">
        <v>0</v>
      </c>
    </row>
    <row r="8" spans="2:9" ht="15" customHeight="1" x14ac:dyDescent="0.2">
      <c r="B8" t="s">
        <v>54</v>
      </c>
      <c r="C8" s="12">
        <v>5</v>
      </c>
      <c r="D8" s="8">
        <v>0.32</v>
      </c>
      <c r="E8" s="12">
        <v>0</v>
      </c>
      <c r="F8" s="8">
        <v>0</v>
      </c>
      <c r="G8" s="12">
        <v>5</v>
      </c>
      <c r="H8" s="8">
        <v>0.56999999999999995</v>
      </c>
      <c r="I8" s="12">
        <v>0</v>
      </c>
    </row>
    <row r="9" spans="2:9" ht="15" customHeight="1" x14ac:dyDescent="0.2">
      <c r="B9" t="s">
        <v>55</v>
      </c>
      <c r="C9" s="12">
        <v>17</v>
      </c>
      <c r="D9" s="8">
        <v>1.1000000000000001</v>
      </c>
      <c r="E9" s="12">
        <v>0</v>
      </c>
      <c r="F9" s="8">
        <v>0</v>
      </c>
      <c r="G9" s="12">
        <v>17</v>
      </c>
      <c r="H9" s="8">
        <v>1.94</v>
      </c>
      <c r="I9" s="12">
        <v>0</v>
      </c>
    </row>
    <row r="10" spans="2:9" ht="15" customHeight="1" x14ac:dyDescent="0.2">
      <c r="B10" t="s">
        <v>56</v>
      </c>
      <c r="C10" s="12">
        <v>18</v>
      </c>
      <c r="D10" s="8">
        <v>1.17</v>
      </c>
      <c r="E10" s="12">
        <v>9</v>
      </c>
      <c r="F10" s="8">
        <v>1.42</v>
      </c>
      <c r="G10" s="12">
        <v>9</v>
      </c>
      <c r="H10" s="8">
        <v>1.03</v>
      </c>
      <c r="I10" s="12">
        <v>0</v>
      </c>
    </row>
    <row r="11" spans="2:9" ht="15" customHeight="1" x14ac:dyDescent="0.2">
      <c r="B11" t="s">
        <v>57</v>
      </c>
      <c r="C11" s="12">
        <v>472</v>
      </c>
      <c r="D11" s="8">
        <v>30.63</v>
      </c>
      <c r="E11" s="12">
        <v>171</v>
      </c>
      <c r="F11" s="8">
        <v>26.89</v>
      </c>
      <c r="G11" s="12">
        <v>301</v>
      </c>
      <c r="H11" s="8">
        <v>34.4</v>
      </c>
      <c r="I11" s="12">
        <v>0</v>
      </c>
    </row>
    <row r="12" spans="2:9" ht="15" customHeight="1" x14ac:dyDescent="0.2">
      <c r="B12" t="s">
        <v>58</v>
      </c>
      <c r="C12" s="12">
        <v>16</v>
      </c>
      <c r="D12" s="8">
        <v>1.04</v>
      </c>
      <c r="E12" s="12">
        <v>3</v>
      </c>
      <c r="F12" s="8">
        <v>0.47</v>
      </c>
      <c r="G12" s="12">
        <v>13</v>
      </c>
      <c r="H12" s="8">
        <v>1.49</v>
      </c>
      <c r="I12" s="12">
        <v>0</v>
      </c>
    </row>
    <row r="13" spans="2:9" ht="15" customHeight="1" x14ac:dyDescent="0.2">
      <c r="B13" t="s">
        <v>59</v>
      </c>
      <c r="C13" s="12">
        <v>151</v>
      </c>
      <c r="D13" s="8">
        <v>9.8000000000000007</v>
      </c>
      <c r="E13" s="12">
        <v>42</v>
      </c>
      <c r="F13" s="8">
        <v>6.6</v>
      </c>
      <c r="G13" s="12">
        <v>107</v>
      </c>
      <c r="H13" s="8">
        <v>12.23</v>
      </c>
      <c r="I13" s="12">
        <v>2</v>
      </c>
    </row>
    <row r="14" spans="2:9" ht="15" customHeight="1" x14ac:dyDescent="0.2">
      <c r="B14" t="s">
        <v>60</v>
      </c>
      <c r="C14" s="12">
        <v>86</v>
      </c>
      <c r="D14" s="8">
        <v>5.58</v>
      </c>
      <c r="E14" s="12">
        <v>35</v>
      </c>
      <c r="F14" s="8">
        <v>5.5</v>
      </c>
      <c r="G14" s="12">
        <v>51</v>
      </c>
      <c r="H14" s="8">
        <v>5.83</v>
      </c>
      <c r="I14" s="12">
        <v>0</v>
      </c>
    </row>
    <row r="15" spans="2:9" ht="15" customHeight="1" x14ac:dyDescent="0.2">
      <c r="B15" t="s">
        <v>61</v>
      </c>
      <c r="C15" s="12">
        <v>110</v>
      </c>
      <c r="D15" s="8">
        <v>7.14</v>
      </c>
      <c r="E15" s="12">
        <v>74</v>
      </c>
      <c r="F15" s="8">
        <v>11.64</v>
      </c>
      <c r="G15" s="12">
        <v>36</v>
      </c>
      <c r="H15" s="8">
        <v>4.1100000000000003</v>
      </c>
      <c r="I15" s="12">
        <v>0</v>
      </c>
    </row>
    <row r="16" spans="2:9" ht="15" customHeight="1" x14ac:dyDescent="0.2">
      <c r="B16" t="s">
        <v>62</v>
      </c>
      <c r="C16" s="12">
        <v>198</v>
      </c>
      <c r="D16" s="8">
        <v>12.85</v>
      </c>
      <c r="E16" s="12">
        <v>157</v>
      </c>
      <c r="F16" s="8">
        <v>24.69</v>
      </c>
      <c r="G16" s="12">
        <v>39</v>
      </c>
      <c r="H16" s="8">
        <v>4.46</v>
      </c>
      <c r="I16" s="12">
        <v>0</v>
      </c>
    </row>
    <row r="17" spans="2:9" ht="15" customHeight="1" x14ac:dyDescent="0.2">
      <c r="B17" t="s">
        <v>63</v>
      </c>
      <c r="C17" s="12">
        <v>38</v>
      </c>
      <c r="D17" s="8">
        <v>2.4700000000000002</v>
      </c>
      <c r="E17" s="12">
        <v>25</v>
      </c>
      <c r="F17" s="8">
        <v>3.93</v>
      </c>
      <c r="G17" s="12">
        <v>11</v>
      </c>
      <c r="H17" s="8">
        <v>1.26</v>
      </c>
      <c r="I17" s="12">
        <v>0</v>
      </c>
    </row>
    <row r="18" spans="2:9" ht="15" customHeight="1" x14ac:dyDescent="0.2">
      <c r="B18" t="s">
        <v>64</v>
      </c>
      <c r="C18" s="12">
        <v>82</v>
      </c>
      <c r="D18" s="8">
        <v>5.32</v>
      </c>
      <c r="E18" s="12">
        <v>39</v>
      </c>
      <c r="F18" s="8">
        <v>6.13</v>
      </c>
      <c r="G18" s="12">
        <v>30</v>
      </c>
      <c r="H18" s="8">
        <v>3.43</v>
      </c>
      <c r="I18" s="12">
        <v>0</v>
      </c>
    </row>
    <row r="19" spans="2:9" ht="15" customHeight="1" x14ac:dyDescent="0.2">
      <c r="B19" t="s">
        <v>65</v>
      </c>
      <c r="C19" s="12">
        <v>68</v>
      </c>
      <c r="D19" s="8">
        <v>4.41</v>
      </c>
      <c r="E19" s="12">
        <v>13</v>
      </c>
      <c r="F19" s="8">
        <v>2.04</v>
      </c>
      <c r="G19" s="12">
        <v>44</v>
      </c>
      <c r="H19" s="8">
        <v>5.03</v>
      </c>
      <c r="I19" s="12">
        <v>9</v>
      </c>
    </row>
    <row r="20" spans="2:9" ht="15" customHeight="1" x14ac:dyDescent="0.2">
      <c r="B20" s="9" t="s">
        <v>281</v>
      </c>
      <c r="C20" s="12">
        <f>SUM(LTBL_43103[総数／事業所数])</f>
        <v>1541</v>
      </c>
      <c r="E20" s="12">
        <f>SUBTOTAL(109,LTBL_43103[個人／事業所数])</f>
        <v>636</v>
      </c>
      <c r="G20" s="12">
        <f>SUBTOTAL(109,LTBL_43103[法人／事業所数])</f>
        <v>875</v>
      </c>
      <c r="I20" s="12">
        <f>SUBTOTAL(109,LTBL_43103[法人以外の団体／事業所数])</f>
        <v>11</v>
      </c>
    </row>
    <row r="21" spans="2:9" ht="15" customHeight="1" x14ac:dyDescent="0.2">
      <c r="E21" s="11">
        <f>LTBL_43103[[#Totals],[個人／事業所数]]/LTBL_43103[[#Totals],[総数／事業所数]]</f>
        <v>0.41271901362751462</v>
      </c>
      <c r="G21" s="11">
        <f>LTBL_43103[[#Totals],[法人／事業所数]]/LTBL_43103[[#Totals],[総数／事業所数]]</f>
        <v>0.56781310837118759</v>
      </c>
      <c r="I21" s="11">
        <f>LTBL_43103[[#Totals],[法人以外の団体／事業所数]]/LTBL_43103[[#Totals],[総数／事業所数]]</f>
        <v>7.138221933809215E-3</v>
      </c>
    </row>
    <row r="23" spans="2:9" ht="33" customHeight="1" x14ac:dyDescent="0.2">
      <c r="B23" t="s">
        <v>282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167</v>
      </c>
      <c r="D24" s="8">
        <v>10.84</v>
      </c>
      <c r="E24" s="12">
        <v>144</v>
      </c>
      <c r="F24" s="8">
        <v>22.64</v>
      </c>
      <c r="G24" s="12">
        <v>23</v>
      </c>
      <c r="H24" s="8">
        <v>2.63</v>
      </c>
      <c r="I24" s="12">
        <v>0</v>
      </c>
    </row>
    <row r="25" spans="2:9" ht="15" customHeight="1" x14ac:dyDescent="0.2">
      <c r="B25" t="s">
        <v>83</v>
      </c>
      <c r="C25" s="12">
        <v>130</v>
      </c>
      <c r="D25" s="8">
        <v>8.44</v>
      </c>
      <c r="E25" s="12">
        <v>47</v>
      </c>
      <c r="F25" s="8">
        <v>7.39</v>
      </c>
      <c r="G25" s="12">
        <v>83</v>
      </c>
      <c r="H25" s="8">
        <v>9.49</v>
      </c>
      <c r="I25" s="12">
        <v>0</v>
      </c>
    </row>
    <row r="26" spans="2:9" ht="15" customHeight="1" x14ac:dyDescent="0.2">
      <c r="B26" t="s">
        <v>85</v>
      </c>
      <c r="C26" s="12">
        <v>117</v>
      </c>
      <c r="D26" s="8">
        <v>7.59</v>
      </c>
      <c r="E26" s="12">
        <v>35</v>
      </c>
      <c r="F26" s="8">
        <v>5.5</v>
      </c>
      <c r="G26" s="12">
        <v>80</v>
      </c>
      <c r="H26" s="8">
        <v>9.14</v>
      </c>
      <c r="I26" s="12">
        <v>2</v>
      </c>
    </row>
    <row r="27" spans="2:9" ht="15" customHeight="1" x14ac:dyDescent="0.2">
      <c r="B27" t="s">
        <v>81</v>
      </c>
      <c r="C27" s="12">
        <v>103</v>
      </c>
      <c r="D27" s="8">
        <v>6.68</v>
      </c>
      <c r="E27" s="12">
        <v>61</v>
      </c>
      <c r="F27" s="8">
        <v>9.59</v>
      </c>
      <c r="G27" s="12">
        <v>42</v>
      </c>
      <c r="H27" s="8">
        <v>4.8</v>
      </c>
      <c r="I27" s="12">
        <v>0</v>
      </c>
    </row>
    <row r="28" spans="2:9" ht="15" customHeight="1" x14ac:dyDescent="0.2">
      <c r="B28" t="s">
        <v>74</v>
      </c>
      <c r="C28" s="12">
        <v>96</v>
      </c>
      <c r="D28" s="8">
        <v>6.23</v>
      </c>
      <c r="E28" s="12">
        <v>20</v>
      </c>
      <c r="F28" s="8">
        <v>3.14</v>
      </c>
      <c r="G28" s="12">
        <v>76</v>
      </c>
      <c r="H28" s="8">
        <v>8.69</v>
      </c>
      <c r="I28" s="12">
        <v>0</v>
      </c>
    </row>
    <row r="29" spans="2:9" ht="15" customHeight="1" x14ac:dyDescent="0.2">
      <c r="B29" t="s">
        <v>88</v>
      </c>
      <c r="C29" s="12">
        <v>84</v>
      </c>
      <c r="D29" s="8">
        <v>5.45</v>
      </c>
      <c r="E29" s="12">
        <v>62</v>
      </c>
      <c r="F29" s="8">
        <v>9.75</v>
      </c>
      <c r="G29" s="12">
        <v>22</v>
      </c>
      <c r="H29" s="8">
        <v>2.5099999999999998</v>
      </c>
      <c r="I29" s="12">
        <v>0</v>
      </c>
    </row>
    <row r="30" spans="2:9" ht="15" customHeight="1" x14ac:dyDescent="0.2">
      <c r="B30" t="s">
        <v>78</v>
      </c>
      <c r="C30" s="12">
        <v>60</v>
      </c>
      <c r="D30" s="8">
        <v>3.89</v>
      </c>
      <c r="E30" s="12">
        <v>13</v>
      </c>
      <c r="F30" s="8">
        <v>2.04</v>
      </c>
      <c r="G30" s="12">
        <v>47</v>
      </c>
      <c r="H30" s="8">
        <v>5.37</v>
      </c>
      <c r="I30" s="12">
        <v>0</v>
      </c>
    </row>
    <row r="31" spans="2:9" ht="15" customHeight="1" x14ac:dyDescent="0.2">
      <c r="B31" t="s">
        <v>75</v>
      </c>
      <c r="C31" s="12">
        <v>52</v>
      </c>
      <c r="D31" s="8">
        <v>3.37</v>
      </c>
      <c r="E31" s="12">
        <v>12</v>
      </c>
      <c r="F31" s="8">
        <v>1.89</v>
      </c>
      <c r="G31" s="12">
        <v>40</v>
      </c>
      <c r="H31" s="8">
        <v>4.57</v>
      </c>
      <c r="I31" s="12">
        <v>0</v>
      </c>
    </row>
    <row r="32" spans="2:9" ht="15" customHeight="1" x14ac:dyDescent="0.2">
      <c r="B32" t="s">
        <v>86</v>
      </c>
      <c r="C32" s="12">
        <v>51</v>
      </c>
      <c r="D32" s="8">
        <v>3.31</v>
      </c>
      <c r="E32" s="12">
        <v>26</v>
      </c>
      <c r="F32" s="8">
        <v>4.09</v>
      </c>
      <c r="G32" s="12">
        <v>25</v>
      </c>
      <c r="H32" s="8">
        <v>2.86</v>
      </c>
      <c r="I32" s="12">
        <v>0</v>
      </c>
    </row>
    <row r="33" spans="2:9" ht="15" customHeight="1" x14ac:dyDescent="0.2">
      <c r="B33" t="s">
        <v>82</v>
      </c>
      <c r="C33" s="12">
        <v>49</v>
      </c>
      <c r="D33" s="8">
        <v>3.18</v>
      </c>
      <c r="E33" s="12">
        <v>29</v>
      </c>
      <c r="F33" s="8">
        <v>4.5599999999999996</v>
      </c>
      <c r="G33" s="12">
        <v>20</v>
      </c>
      <c r="H33" s="8">
        <v>2.29</v>
      </c>
      <c r="I33" s="12">
        <v>0</v>
      </c>
    </row>
    <row r="34" spans="2:9" ht="15" customHeight="1" x14ac:dyDescent="0.2">
      <c r="B34" t="s">
        <v>80</v>
      </c>
      <c r="C34" s="12">
        <v>48</v>
      </c>
      <c r="D34" s="8">
        <v>3.11</v>
      </c>
      <c r="E34" s="12">
        <v>10</v>
      </c>
      <c r="F34" s="8">
        <v>1.57</v>
      </c>
      <c r="G34" s="12">
        <v>38</v>
      </c>
      <c r="H34" s="8">
        <v>4.34</v>
      </c>
      <c r="I34" s="12">
        <v>0</v>
      </c>
    </row>
    <row r="35" spans="2:9" ht="15" customHeight="1" x14ac:dyDescent="0.2">
      <c r="B35" t="s">
        <v>91</v>
      </c>
      <c r="C35" s="12">
        <v>45</v>
      </c>
      <c r="D35" s="8">
        <v>2.92</v>
      </c>
      <c r="E35" s="12">
        <v>39</v>
      </c>
      <c r="F35" s="8">
        <v>6.13</v>
      </c>
      <c r="G35" s="12">
        <v>6</v>
      </c>
      <c r="H35" s="8">
        <v>0.69</v>
      </c>
      <c r="I35" s="12">
        <v>0</v>
      </c>
    </row>
    <row r="36" spans="2:9" ht="15" customHeight="1" x14ac:dyDescent="0.2">
      <c r="B36" t="s">
        <v>76</v>
      </c>
      <c r="C36" s="12">
        <v>40</v>
      </c>
      <c r="D36" s="8">
        <v>2.6</v>
      </c>
      <c r="E36" s="12">
        <v>10</v>
      </c>
      <c r="F36" s="8">
        <v>1.57</v>
      </c>
      <c r="G36" s="12">
        <v>30</v>
      </c>
      <c r="H36" s="8">
        <v>3.43</v>
      </c>
      <c r="I36" s="12">
        <v>0</v>
      </c>
    </row>
    <row r="37" spans="2:9" ht="15" customHeight="1" x14ac:dyDescent="0.2">
      <c r="B37" t="s">
        <v>77</v>
      </c>
      <c r="C37" s="12">
        <v>38</v>
      </c>
      <c r="D37" s="8">
        <v>2.4700000000000002</v>
      </c>
      <c r="E37" s="12">
        <v>10</v>
      </c>
      <c r="F37" s="8">
        <v>1.57</v>
      </c>
      <c r="G37" s="12">
        <v>28</v>
      </c>
      <c r="H37" s="8">
        <v>3.2</v>
      </c>
      <c r="I37" s="12">
        <v>0</v>
      </c>
    </row>
    <row r="38" spans="2:9" ht="15" customHeight="1" x14ac:dyDescent="0.2">
      <c r="B38" t="s">
        <v>90</v>
      </c>
      <c r="C38" s="12">
        <v>38</v>
      </c>
      <c r="D38" s="8">
        <v>2.4700000000000002</v>
      </c>
      <c r="E38" s="12">
        <v>25</v>
      </c>
      <c r="F38" s="8">
        <v>3.93</v>
      </c>
      <c r="G38" s="12">
        <v>11</v>
      </c>
      <c r="H38" s="8">
        <v>1.26</v>
      </c>
      <c r="I38" s="12">
        <v>0</v>
      </c>
    </row>
    <row r="39" spans="2:9" ht="15" customHeight="1" x14ac:dyDescent="0.2">
      <c r="B39" t="s">
        <v>92</v>
      </c>
      <c r="C39" s="12">
        <v>37</v>
      </c>
      <c r="D39" s="8">
        <v>2.4</v>
      </c>
      <c r="E39" s="12">
        <v>0</v>
      </c>
      <c r="F39" s="8">
        <v>0</v>
      </c>
      <c r="G39" s="12">
        <v>24</v>
      </c>
      <c r="H39" s="8">
        <v>2.74</v>
      </c>
      <c r="I39" s="12">
        <v>0</v>
      </c>
    </row>
    <row r="40" spans="2:9" ht="15" customHeight="1" x14ac:dyDescent="0.2">
      <c r="B40" t="s">
        <v>94</v>
      </c>
      <c r="C40" s="12">
        <v>32</v>
      </c>
      <c r="D40" s="8">
        <v>2.08</v>
      </c>
      <c r="E40" s="12">
        <v>6</v>
      </c>
      <c r="F40" s="8">
        <v>0.94</v>
      </c>
      <c r="G40" s="12">
        <v>26</v>
      </c>
      <c r="H40" s="8">
        <v>2.97</v>
      </c>
      <c r="I40" s="12">
        <v>0</v>
      </c>
    </row>
    <row r="41" spans="2:9" ht="15" customHeight="1" x14ac:dyDescent="0.2">
      <c r="B41" t="s">
        <v>84</v>
      </c>
      <c r="C41" s="12">
        <v>31</v>
      </c>
      <c r="D41" s="8">
        <v>2.0099999999999998</v>
      </c>
      <c r="E41" s="12">
        <v>6</v>
      </c>
      <c r="F41" s="8">
        <v>0.94</v>
      </c>
      <c r="G41" s="12">
        <v>25</v>
      </c>
      <c r="H41" s="8">
        <v>2.86</v>
      </c>
      <c r="I41" s="12">
        <v>0</v>
      </c>
    </row>
    <row r="42" spans="2:9" ht="15" customHeight="1" x14ac:dyDescent="0.2">
      <c r="B42" t="s">
        <v>87</v>
      </c>
      <c r="C42" s="12">
        <v>31</v>
      </c>
      <c r="D42" s="8">
        <v>2.0099999999999998</v>
      </c>
      <c r="E42" s="12">
        <v>9</v>
      </c>
      <c r="F42" s="8">
        <v>1.42</v>
      </c>
      <c r="G42" s="12">
        <v>22</v>
      </c>
      <c r="H42" s="8">
        <v>2.5099999999999998</v>
      </c>
      <c r="I42" s="12">
        <v>0</v>
      </c>
    </row>
    <row r="43" spans="2:9" ht="15" customHeight="1" x14ac:dyDescent="0.2">
      <c r="B43" t="s">
        <v>93</v>
      </c>
      <c r="C43" s="12">
        <v>26</v>
      </c>
      <c r="D43" s="8">
        <v>1.69</v>
      </c>
      <c r="E43" s="12">
        <v>10</v>
      </c>
      <c r="F43" s="8">
        <v>1.57</v>
      </c>
      <c r="G43" s="12">
        <v>16</v>
      </c>
      <c r="H43" s="8">
        <v>1.83</v>
      </c>
      <c r="I43" s="12">
        <v>0</v>
      </c>
    </row>
    <row r="46" spans="2:9" ht="33" customHeight="1" x14ac:dyDescent="0.2">
      <c r="B46" t="s">
        <v>283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151</v>
      </c>
      <c r="C47" s="12">
        <v>73</v>
      </c>
      <c r="D47" s="8">
        <v>4.74</v>
      </c>
      <c r="E47" s="12">
        <v>66</v>
      </c>
      <c r="F47" s="8">
        <v>10.38</v>
      </c>
      <c r="G47" s="12">
        <v>7</v>
      </c>
      <c r="H47" s="8">
        <v>0.8</v>
      </c>
      <c r="I47" s="12">
        <v>0</v>
      </c>
    </row>
    <row r="48" spans="2:9" ht="15" customHeight="1" x14ac:dyDescent="0.2">
      <c r="B48" t="s">
        <v>145</v>
      </c>
      <c r="C48" s="12">
        <v>70</v>
      </c>
      <c r="D48" s="8">
        <v>4.54</v>
      </c>
      <c r="E48" s="12">
        <v>27</v>
      </c>
      <c r="F48" s="8">
        <v>4.25</v>
      </c>
      <c r="G48" s="12">
        <v>43</v>
      </c>
      <c r="H48" s="8">
        <v>4.91</v>
      </c>
      <c r="I48" s="12">
        <v>0</v>
      </c>
    </row>
    <row r="49" spans="2:9" ht="15" customHeight="1" x14ac:dyDescent="0.2">
      <c r="B49" t="s">
        <v>150</v>
      </c>
      <c r="C49" s="12">
        <v>61</v>
      </c>
      <c r="D49" s="8">
        <v>3.96</v>
      </c>
      <c r="E49" s="12">
        <v>58</v>
      </c>
      <c r="F49" s="8">
        <v>9.1199999999999992</v>
      </c>
      <c r="G49" s="12">
        <v>3</v>
      </c>
      <c r="H49" s="8">
        <v>0.34</v>
      </c>
      <c r="I49" s="12">
        <v>0</v>
      </c>
    </row>
    <row r="50" spans="2:9" ht="15" customHeight="1" x14ac:dyDescent="0.2">
      <c r="B50" t="s">
        <v>135</v>
      </c>
      <c r="C50" s="12">
        <v>46</v>
      </c>
      <c r="D50" s="8">
        <v>2.99</v>
      </c>
      <c r="E50" s="12">
        <v>6</v>
      </c>
      <c r="F50" s="8">
        <v>0.94</v>
      </c>
      <c r="G50" s="12">
        <v>40</v>
      </c>
      <c r="H50" s="8">
        <v>4.57</v>
      </c>
      <c r="I50" s="12">
        <v>0</v>
      </c>
    </row>
    <row r="51" spans="2:9" ht="15" customHeight="1" x14ac:dyDescent="0.2">
      <c r="B51" t="s">
        <v>140</v>
      </c>
      <c r="C51" s="12">
        <v>46</v>
      </c>
      <c r="D51" s="8">
        <v>2.99</v>
      </c>
      <c r="E51" s="12">
        <v>25</v>
      </c>
      <c r="F51" s="8">
        <v>3.93</v>
      </c>
      <c r="G51" s="12">
        <v>21</v>
      </c>
      <c r="H51" s="8">
        <v>2.4</v>
      </c>
      <c r="I51" s="12">
        <v>0</v>
      </c>
    </row>
    <row r="52" spans="2:9" ht="15" customHeight="1" x14ac:dyDescent="0.2">
      <c r="B52" t="s">
        <v>143</v>
      </c>
      <c r="C52" s="12">
        <v>43</v>
      </c>
      <c r="D52" s="8">
        <v>2.79</v>
      </c>
      <c r="E52" s="12">
        <v>23</v>
      </c>
      <c r="F52" s="8">
        <v>3.62</v>
      </c>
      <c r="G52" s="12">
        <v>20</v>
      </c>
      <c r="H52" s="8">
        <v>2.29</v>
      </c>
      <c r="I52" s="12">
        <v>0</v>
      </c>
    </row>
    <row r="53" spans="2:9" ht="15" customHeight="1" x14ac:dyDescent="0.2">
      <c r="B53" t="s">
        <v>164</v>
      </c>
      <c r="C53" s="12">
        <v>37</v>
      </c>
      <c r="D53" s="8">
        <v>2.4</v>
      </c>
      <c r="E53" s="12">
        <v>8</v>
      </c>
      <c r="F53" s="8">
        <v>1.26</v>
      </c>
      <c r="G53" s="12">
        <v>29</v>
      </c>
      <c r="H53" s="8">
        <v>3.31</v>
      </c>
      <c r="I53" s="12">
        <v>0</v>
      </c>
    </row>
    <row r="54" spans="2:9" ht="15" customHeight="1" x14ac:dyDescent="0.2">
      <c r="B54" t="s">
        <v>142</v>
      </c>
      <c r="C54" s="12">
        <v>34</v>
      </c>
      <c r="D54" s="8">
        <v>2.21</v>
      </c>
      <c r="E54" s="12">
        <v>7</v>
      </c>
      <c r="F54" s="8">
        <v>1.1000000000000001</v>
      </c>
      <c r="G54" s="12">
        <v>27</v>
      </c>
      <c r="H54" s="8">
        <v>3.09</v>
      </c>
      <c r="I54" s="12">
        <v>0</v>
      </c>
    </row>
    <row r="55" spans="2:9" ht="15" customHeight="1" x14ac:dyDescent="0.2">
      <c r="B55" t="s">
        <v>147</v>
      </c>
      <c r="C55" s="12">
        <v>31</v>
      </c>
      <c r="D55" s="8">
        <v>2.0099999999999998</v>
      </c>
      <c r="E55" s="12">
        <v>18</v>
      </c>
      <c r="F55" s="8">
        <v>2.83</v>
      </c>
      <c r="G55" s="12">
        <v>13</v>
      </c>
      <c r="H55" s="8">
        <v>1.49</v>
      </c>
      <c r="I55" s="12">
        <v>0</v>
      </c>
    </row>
    <row r="56" spans="2:9" ht="15" customHeight="1" x14ac:dyDescent="0.2">
      <c r="B56" t="s">
        <v>153</v>
      </c>
      <c r="C56" s="12">
        <v>31</v>
      </c>
      <c r="D56" s="8">
        <v>2.0099999999999998</v>
      </c>
      <c r="E56" s="12">
        <v>28</v>
      </c>
      <c r="F56" s="8">
        <v>4.4000000000000004</v>
      </c>
      <c r="G56" s="12">
        <v>3</v>
      </c>
      <c r="H56" s="8">
        <v>0.34</v>
      </c>
      <c r="I56" s="12">
        <v>0</v>
      </c>
    </row>
    <row r="57" spans="2:9" ht="15" customHeight="1" x14ac:dyDescent="0.2">
      <c r="B57" t="s">
        <v>139</v>
      </c>
      <c r="C57" s="12">
        <v>29</v>
      </c>
      <c r="D57" s="8">
        <v>1.88</v>
      </c>
      <c r="E57" s="12">
        <v>5</v>
      </c>
      <c r="F57" s="8">
        <v>0.79</v>
      </c>
      <c r="G57" s="12">
        <v>24</v>
      </c>
      <c r="H57" s="8">
        <v>2.74</v>
      </c>
      <c r="I57" s="12">
        <v>0</v>
      </c>
    </row>
    <row r="58" spans="2:9" ht="15" customHeight="1" x14ac:dyDescent="0.2">
      <c r="B58" t="s">
        <v>141</v>
      </c>
      <c r="C58" s="12">
        <v>29</v>
      </c>
      <c r="D58" s="8">
        <v>1.88</v>
      </c>
      <c r="E58" s="12">
        <v>17</v>
      </c>
      <c r="F58" s="8">
        <v>2.67</v>
      </c>
      <c r="G58" s="12">
        <v>12</v>
      </c>
      <c r="H58" s="8">
        <v>1.37</v>
      </c>
      <c r="I58" s="12">
        <v>0</v>
      </c>
    </row>
    <row r="59" spans="2:9" ht="15" customHeight="1" x14ac:dyDescent="0.2">
      <c r="B59" t="s">
        <v>144</v>
      </c>
      <c r="C59" s="12">
        <v>27</v>
      </c>
      <c r="D59" s="8">
        <v>1.75</v>
      </c>
      <c r="E59" s="12">
        <v>1</v>
      </c>
      <c r="F59" s="8">
        <v>0.16</v>
      </c>
      <c r="G59" s="12">
        <v>24</v>
      </c>
      <c r="H59" s="8">
        <v>2.74</v>
      </c>
      <c r="I59" s="12">
        <v>2</v>
      </c>
    </row>
    <row r="60" spans="2:9" ht="15" customHeight="1" x14ac:dyDescent="0.2">
      <c r="B60" t="s">
        <v>152</v>
      </c>
      <c r="C60" s="12">
        <v>27</v>
      </c>
      <c r="D60" s="8">
        <v>1.75</v>
      </c>
      <c r="E60" s="12">
        <v>19</v>
      </c>
      <c r="F60" s="8">
        <v>2.99</v>
      </c>
      <c r="G60" s="12">
        <v>8</v>
      </c>
      <c r="H60" s="8">
        <v>0.91</v>
      </c>
      <c r="I60" s="12">
        <v>0</v>
      </c>
    </row>
    <row r="61" spans="2:9" ht="15" customHeight="1" x14ac:dyDescent="0.2">
      <c r="B61" t="s">
        <v>160</v>
      </c>
      <c r="C61" s="12">
        <v>26</v>
      </c>
      <c r="D61" s="8">
        <v>1.69</v>
      </c>
      <c r="E61" s="12">
        <v>17</v>
      </c>
      <c r="F61" s="8">
        <v>2.67</v>
      </c>
      <c r="G61" s="12">
        <v>9</v>
      </c>
      <c r="H61" s="8">
        <v>1.03</v>
      </c>
      <c r="I61" s="12">
        <v>0</v>
      </c>
    </row>
    <row r="62" spans="2:9" ht="15" customHeight="1" x14ac:dyDescent="0.2">
      <c r="B62" t="s">
        <v>154</v>
      </c>
      <c r="C62" s="12">
        <v>26</v>
      </c>
      <c r="D62" s="8">
        <v>1.69</v>
      </c>
      <c r="E62" s="12">
        <v>10</v>
      </c>
      <c r="F62" s="8">
        <v>1.57</v>
      </c>
      <c r="G62" s="12">
        <v>16</v>
      </c>
      <c r="H62" s="8">
        <v>1.83</v>
      </c>
      <c r="I62" s="12">
        <v>0</v>
      </c>
    </row>
    <row r="63" spans="2:9" ht="15" customHeight="1" x14ac:dyDescent="0.2">
      <c r="B63" t="s">
        <v>146</v>
      </c>
      <c r="C63" s="12">
        <v>22</v>
      </c>
      <c r="D63" s="8">
        <v>1.43</v>
      </c>
      <c r="E63" s="12">
        <v>3</v>
      </c>
      <c r="F63" s="8">
        <v>0.47</v>
      </c>
      <c r="G63" s="12">
        <v>19</v>
      </c>
      <c r="H63" s="8">
        <v>2.17</v>
      </c>
      <c r="I63" s="12">
        <v>0</v>
      </c>
    </row>
    <row r="64" spans="2:9" ht="15" customHeight="1" x14ac:dyDescent="0.2">
      <c r="B64" t="s">
        <v>155</v>
      </c>
      <c r="C64" s="12">
        <v>21</v>
      </c>
      <c r="D64" s="8">
        <v>1.36</v>
      </c>
      <c r="E64" s="12">
        <v>5</v>
      </c>
      <c r="F64" s="8">
        <v>0.79</v>
      </c>
      <c r="G64" s="12">
        <v>16</v>
      </c>
      <c r="H64" s="8">
        <v>1.83</v>
      </c>
      <c r="I64" s="12">
        <v>0</v>
      </c>
    </row>
    <row r="65" spans="2:9" ht="15" customHeight="1" x14ac:dyDescent="0.2">
      <c r="B65" t="s">
        <v>136</v>
      </c>
      <c r="C65" s="12">
        <v>20</v>
      </c>
      <c r="D65" s="8">
        <v>1.3</v>
      </c>
      <c r="E65" s="12">
        <v>6</v>
      </c>
      <c r="F65" s="8">
        <v>0.94</v>
      </c>
      <c r="G65" s="12">
        <v>14</v>
      </c>
      <c r="H65" s="8">
        <v>1.6</v>
      </c>
      <c r="I65" s="12">
        <v>0</v>
      </c>
    </row>
    <row r="66" spans="2:9" ht="15" customHeight="1" x14ac:dyDescent="0.2">
      <c r="B66" t="s">
        <v>138</v>
      </c>
      <c r="C66" s="12">
        <v>19</v>
      </c>
      <c r="D66" s="8">
        <v>1.23</v>
      </c>
      <c r="E66" s="12">
        <v>8</v>
      </c>
      <c r="F66" s="8">
        <v>1.26</v>
      </c>
      <c r="G66" s="12">
        <v>11</v>
      </c>
      <c r="H66" s="8">
        <v>1.26</v>
      </c>
      <c r="I66" s="12">
        <v>0</v>
      </c>
    </row>
    <row r="67" spans="2:9" ht="15" customHeight="1" x14ac:dyDescent="0.2">
      <c r="B67" t="s">
        <v>165</v>
      </c>
      <c r="C67" s="12">
        <v>19</v>
      </c>
      <c r="D67" s="8">
        <v>1.23</v>
      </c>
      <c r="E67" s="12">
        <v>5</v>
      </c>
      <c r="F67" s="8">
        <v>0.79</v>
      </c>
      <c r="G67" s="12">
        <v>14</v>
      </c>
      <c r="H67" s="8">
        <v>1.6</v>
      </c>
      <c r="I67" s="12">
        <v>0</v>
      </c>
    </row>
    <row r="68" spans="2:9" ht="15" customHeight="1" x14ac:dyDescent="0.2">
      <c r="B68" t="s">
        <v>166</v>
      </c>
      <c r="C68" s="12">
        <v>19</v>
      </c>
      <c r="D68" s="8">
        <v>1.23</v>
      </c>
      <c r="E68" s="12">
        <v>8</v>
      </c>
      <c r="F68" s="8">
        <v>1.26</v>
      </c>
      <c r="G68" s="12">
        <v>11</v>
      </c>
      <c r="H68" s="8">
        <v>1.26</v>
      </c>
      <c r="I68" s="12">
        <v>0</v>
      </c>
    </row>
    <row r="70" spans="2:9" ht="15" customHeight="1" x14ac:dyDescent="0.2">
      <c r="B70" t="s">
        <v>284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3</vt:i4>
      </vt:variant>
    </vt:vector>
  </HeadingPairs>
  <TitlesOfParts>
    <vt:vector size="58" baseType="lpstr">
      <vt:lpstr>目次</vt:lpstr>
      <vt:lpstr>産業大分類</vt:lpstr>
      <vt:lpstr>産業中分類</vt:lpstr>
      <vt:lpstr>産業小分類</vt:lpstr>
      <vt:lpstr>熊本県</vt:lpstr>
      <vt:lpstr>熊本市</vt:lpstr>
      <vt:lpstr>熊本市中央区</vt:lpstr>
      <vt:lpstr>熊本市東区</vt:lpstr>
      <vt:lpstr>熊本市西区</vt:lpstr>
      <vt:lpstr>熊本市南区</vt:lpstr>
      <vt:lpstr>熊本市北区</vt:lpstr>
      <vt:lpstr>八代市</vt:lpstr>
      <vt:lpstr>人吉市</vt:lpstr>
      <vt:lpstr>荒尾市</vt:lpstr>
      <vt:lpstr>水俣市</vt:lpstr>
      <vt:lpstr>玉名市</vt:lpstr>
      <vt:lpstr>山鹿市</vt:lpstr>
      <vt:lpstr>菊池市</vt:lpstr>
      <vt:lpstr>宇土市</vt:lpstr>
      <vt:lpstr>上天草市</vt:lpstr>
      <vt:lpstr>宇城市</vt:lpstr>
      <vt:lpstr>阿蘇市</vt:lpstr>
      <vt:lpstr>天草市</vt:lpstr>
      <vt:lpstr>合志市</vt:lpstr>
      <vt:lpstr>下益城郡美里町</vt:lpstr>
      <vt:lpstr>玉名郡玉東町</vt:lpstr>
      <vt:lpstr>玉名郡南関町</vt:lpstr>
      <vt:lpstr>玉名郡長洲町</vt:lpstr>
      <vt:lpstr>玉名郡和水町</vt:lpstr>
      <vt:lpstr>菊池郡大津町</vt:lpstr>
      <vt:lpstr>菊池郡菊陽町</vt:lpstr>
      <vt:lpstr>阿蘇郡南小国町</vt:lpstr>
      <vt:lpstr>阿蘇郡小国町</vt:lpstr>
      <vt:lpstr>阿蘇郡産山村</vt:lpstr>
      <vt:lpstr>阿蘇郡高森町</vt:lpstr>
      <vt:lpstr>阿蘇郡西原村</vt:lpstr>
      <vt:lpstr>阿蘇郡南阿蘇村</vt:lpstr>
      <vt:lpstr>上益城郡御船町</vt:lpstr>
      <vt:lpstr>上益城郡嘉島町</vt:lpstr>
      <vt:lpstr>上益城郡益城町</vt:lpstr>
      <vt:lpstr>上益城郡甲佐町</vt:lpstr>
      <vt:lpstr>上益城郡山都町</vt:lpstr>
      <vt:lpstr>八代郡氷川町</vt:lpstr>
      <vt:lpstr>葦北郡芦北町</vt:lpstr>
      <vt:lpstr>葦北郡津奈木町</vt:lpstr>
      <vt:lpstr>球磨郡錦町</vt:lpstr>
      <vt:lpstr>球磨郡多良木町</vt:lpstr>
      <vt:lpstr>球磨郡湯前町</vt:lpstr>
      <vt:lpstr>球磨郡水上村</vt:lpstr>
      <vt:lpstr>球磨郡相良村</vt:lpstr>
      <vt:lpstr>球磨郡五木村</vt:lpstr>
      <vt:lpstr>球磨郡山江村</vt:lpstr>
      <vt:lpstr>球磨郡球磨村</vt:lpstr>
      <vt:lpstr>球磨郡あさぎり町</vt:lpstr>
      <vt:lpstr>天草郡苓北町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2023-08-17T02:23:00Z</dcterms:created>
  <dcterms:modified xsi:type="dcterms:W3CDTF">2023-08-17T02:23:00Z</dcterms:modified>
</cp:coreProperties>
</file>